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G:\Unidades compartidas\LABORATORIO MASA Y VOLUMEN\OJO PARA ACTUALZAR SIGI\BALANZAS\"/>
    </mc:Choice>
  </mc:AlternateContent>
  <xr:revisionPtr revIDLastSave="0" documentId="8_{D631BE65-C8AE-4B0B-BC2E-DEB648EC8223}" xr6:coauthVersionLast="45" xr6:coauthVersionMax="45" xr10:uidLastSave="{00000000-0000-0000-0000-000000000000}"/>
  <workbookProtection workbookAlgorithmName="SHA-512" workbookHashValue="wcK43MYP25S2/ozJGKdb/fwdLgZt/tGQPVG7n6PkuEDCblpaP3E/wpdbFLVFFlhcchcf2r8l+xEf76VFC9zNHA==" workbookSaltValue="apHF38rjnNXv934k9R50Bw==" workbookSpinCount="100000" lockStructure="1"/>
  <bookViews>
    <workbookView xWindow="-110" yWindow="-110" windowWidth="19420" windowHeight="10420" tabRatio="613" firstSheet="1" activeTab="1" xr2:uid="{00000000-000D-0000-FFFF-FFFF00000000}"/>
  </bookViews>
  <sheets>
    <sheet name="DATOS &amp; " sheetId="15" state="hidden" r:id="rId1"/>
    <sheet name="RT03-F12 &amp;" sheetId="8" r:id="rId2"/>
    <sheet name=" RT03-F15 &amp;" sheetId="18" state="hidden" r:id="rId3"/>
    <sheet name=" CMC &amp;" sheetId="25" r:id="rId4"/>
    <sheet name="Pc &amp; " sheetId="30" r:id="rId5"/>
    <sheet name="Max y MIN &amp;" sheetId="28" r:id="rId6"/>
    <sheet name=" RT03-F39 &amp;" sheetId="33" state="hidden" r:id="rId7"/>
  </sheets>
  <externalReferences>
    <externalReference r:id="rId8"/>
    <externalReference r:id="rId9"/>
    <externalReference r:id="rId10"/>
  </externalReferences>
  <definedNames>
    <definedName name="a1_">'[1]APROXIMACION LINEL'!$C$21</definedName>
    <definedName name="_xlnm.Print_Area" localSheetId="3">' CMC &amp;'!$A$1:$K$32</definedName>
    <definedName name="_xlnm.Print_Area" localSheetId="2">' RT03-F15 &amp;'!$A$1:$G$174</definedName>
    <definedName name="_xlnm.Print_Area" localSheetId="6">' RT03-F39 &amp;'!$A$1:$G$174</definedName>
    <definedName name="_xlnm.Print_Area" localSheetId="5">'Max y MIN &amp;'!$A$1:$V$22</definedName>
    <definedName name="_xlnm.Print_Area" localSheetId="4">'Pc &amp; '!$A$1:$Q$43</definedName>
    <definedName name="_xlnm.Print_Area" localSheetId="1">'RT03-F12 &amp;'!$A$1:$Q$144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&amp;'!$A$1:$G$173</definedName>
    <definedName name="Print_Area" localSheetId="6">' RT03-F39 &amp;'!$A$1:$G$173</definedName>
    <definedName name="Print_Area" localSheetId="0">'DATOS &amp; '!$A$1:$T$168</definedName>
    <definedName name="Print_Area" localSheetId="1">'RT03-F12 &amp;'!$A$1:$L$146</definedName>
    <definedName name="Print_Titles" localSheetId="2">' RT03-F15 &amp;'!$1:$1</definedName>
    <definedName name="Print_Titles" localSheetId="6">' RT03-F39 &amp;'!$1:$1</definedName>
    <definedName name="Print_Titles" localSheetId="1">'RT03-F12 &amp;'!$1:$3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33" l="1"/>
  <c r="A168" i="33"/>
  <c r="E167" i="33"/>
  <c r="A167" i="33"/>
  <c r="C98" i="33"/>
  <c r="C97" i="33"/>
  <c r="C96" i="33"/>
  <c r="C95" i="33"/>
  <c r="C94" i="33"/>
  <c r="E86" i="33"/>
  <c r="D86" i="33"/>
  <c r="C86" i="33"/>
  <c r="A86" i="33"/>
  <c r="E85" i="33"/>
  <c r="D85" i="33"/>
  <c r="C85" i="33"/>
  <c r="A85" i="33"/>
  <c r="E84" i="33"/>
  <c r="D84" i="33"/>
  <c r="C84" i="33"/>
  <c r="A84" i="33"/>
  <c r="E83" i="33"/>
  <c r="D83" i="33"/>
  <c r="C83" i="33"/>
  <c r="A83" i="33"/>
  <c r="E82" i="33"/>
  <c r="D82" i="33"/>
  <c r="C82" i="33"/>
  <c r="A82" i="33"/>
  <c r="E81" i="33"/>
  <c r="D81" i="33"/>
  <c r="C81" i="33"/>
  <c r="A81" i="33"/>
  <c r="E80" i="33"/>
  <c r="D80" i="33"/>
  <c r="C80" i="33"/>
  <c r="A80" i="33"/>
  <c r="E79" i="33"/>
  <c r="D79" i="33"/>
  <c r="C79" i="33"/>
  <c r="A79" i="33"/>
  <c r="E78" i="33"/>
  <c r="D78" i="33"/>
  <c r="C78" i="33"/>
  <c r="A78" i="33"/>
  <c r="E77" i="33"/>
  <c r="D77" i="33"/>
  <c r="C77" i="33"/>
  <c r="A77" i="33"/>
  <c r="A75" i="33"/>
  <c r="C63" i="33"/>
  <c r="A63" i="33"/>
  <c r="C62" i="33"/>
  <c r="A62" i="33"/>
  <c r="C61" i="33"/>
  <c r="A61" i="33"/>
  <c r="C60" i="33"/>
  <c r="A60" i="33"/>
  <c r="C59" i="33"/>
  <c r="A59" i="33"/>
  <c r="C58" i="33"/>
  <c r="A58" i="33"/>
  <c r="D57" i="33"/>
  <c r="A57" i="33"/>
  <c r="Q94" i="8" l="1"/>
  <c r="Q95" i="8"/>
  <c r="Q96" i="8"/>
  <c r="Q97" i="8"/>
  <c r="Q93" i="8"/>
  <c r="I81" i="8" l="1"/>
  <c r="J81" i="8"/>
  <c r="H81" i="8"/>
  <c r="G81" i="8"/>
  <c r="F81" i="8"/>
  <c r="O91" i="15"/>
  <c r="N91" i="15"/>
  <c r="M91" i="15"/>
  <c r="J25" i="8"/>
  <c r="J24" i="8"/>
  <c r="J23" i="8"/>
  <c r="J21" i="8"/>
  <c r="J22" i="8"/>
  <c r="I25" i="8"/>
  <c r="I24" i="8"/>
  <c r="I80" i="8" s="1"/>
  <c r="I23" i="8"/>
  <c r="I22" i="8"/>
  <c r="I21" i="8"/>
  <c r="H24" i="8"/>
  <c r="B58" i="8" s="1"/>
  <c r="H23" i="8"/>
  <c r="H22" i="8"/>
  <c r="H21" i="8"/>
  <c r="G25" i="8"/>
  <c r="G24" i="8"/>
  <c r="G23" i="8"/>
  <c r="G22" i="8"/>
  <c r="G21" i="8"/>
  <c r="S88" i="15"/>
  <c r="T88" i="15"/>
  <c r="T89" i="15" s="1"/>
  <c r="T90" i="15" s="1"/>
  <c r="T91" i="15" s="1"/>
  <c r="R91" i="15"/>
  <c r="R90" i="15"/>
  <c r="R88" i="15"/>
  <c r="N90" i="15"/>
  <c r="P91" i="15"/>
  <c r="H25" i="8" s="1"/>
  <c r="S91" i="15"/>
  <c r="E98" i="33" l="1"/>
  <c r="E98" i="18"/>
  <c r="E93" i="33"/>
  <c r="E93" i="18"/>
  <c r="E94" i="18"/>
  <c r="E94" i="33"/>
  <c r="E95" i="18"/>
  <c r="E95" i="33"/>
  <c r="E97" i="18"/>
  <c r="E96" i="18"/>
  <c r="N131" i="8"/>
  <c r="I70" i="8"/>
  <c r="K96" i="8"/>
  <c r="A105" i="33" s="1"/>
  <c r="Q91" i="15"/>
  <c r="Q88" i="15"/>
  <c r="O88" i="15"/>
  <c r="P88" i="15"/>
  <c r="N88" i="15"/>
  <c r="M88" i="15"/>
  <c r="A97" i="33" l="1"/>
  <c r="E10" i="30"/>
  <c r="M90" i="15"/>
  <c r="O90" i="15" s="1"/>
  <c r="P90" i="15"/>
  <c r="S90" i="15"/>
  <c r="S33" i="15"/>
  <c r="S34" i="15"/>
  <c r="R34" i="15"/>
  <c r="R33" i="15"/>
  <c r="P33" i="15"/>
  <c r="Q33" i="15" s="1"/>
  <c r="P34" i="15"/>
  <c r="O33" i="15"/>
  <c r="O34" i="15"/>
  <c r="N33" i="15"/>
  <c r="M34" i="15"/>
  <c r="M33" i="15"/>
  <c r="N34" i="15"/>
  <c r="I34" i="15"/>
  <c r="H34" i="15"/>
  <c r="I33" i="15"/>
  <c r="H33" i="15"/>
  <c r="Q90" i="15" l="1"/>
  <c r="Q34" i="15"/>
  <c r="P28" i="15" l="1"/>
  <c r="C21" i="25" l="1"/>
  <c r="H30" i="15" l="1"/>
  <c r="H31" i="15"/>
  <c r="H32" i="15"/>
  <c r="H29" i="15"/>
  <c r="S32" i="15" l="1"/>
  <c r="S31" i="15"/>
  <c r="S30" i="15"/>
  <c r="S29" i="15"/>
  <c r="S28" i="15"/>
  <c r="I30" i="15"/>
  <c r="I31" i="15"/>
  <c r="I32" i="15"/>
  <c r="I29" i="15"/>
  <c r="B21" i="25" l="1"/>
  <c r="D21" i="25" l="1"/>
  <c r="Q91" i="8"/>
  <c r="D103" i="8"/>
  <c r="A168" i="18" l="1"/>
  <c r="A167" i="18"/>
  <c r="E167" i="18"/>
  <c r="C6" i="28"/>
  <c r="B6" i="28"/>
  <c r="E6" i="28"/>
  <c r="L32" i="8" l="1"/>
  <c r="I79" i="8" s="1"/>
  <c r="H80" i="8"/>
  <c r="D26" i="8"/>
  <c r="D14" i="8"/>
  <c r="D20" i="33" s="1"/>
  <c r="E34" i="8"/>
  <c r="C57" i="33" s="1"/>
  <c r="C37" i="8"/>
  <c r="D59" i="33" s="1"/>
  <c r="D37" i="8"/>
  <c r="D60" i="33" s="1"/>
  <c r="E37" i="8"/>
  <c r="D61" i="33" s="1"/>
  <c r="F37" i="8"/>
  <c r="D62" i="33" s="1"/>
  <c r="G37" i="8"/>
  <c r="D63" i="33" s="1"/>
  <c r="I59" i="8"/>
  <c r="J59" i="8" s="1"/>
  <c r="B113" i="8" s="1"/>
  <c r="D48" i="8"/>
  <c r="E48" i="8" s="1"/>
  <c r="O89"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Q28" i="15" s="1"/>
  <c r="F80" i="8"/>
  <c r="B55" i="8"/>
  <c r="I15" i="8"/>
  <c r="D49" i="33" s="1"/>
  <c r="I14" i="8"/>
  <c r="S72" i="15"/>
  <c r="H116" i="8"/>
  <c r="F120" i="8" s="1"/>
  <c r="M119" i="8" s="1"/>
  <c r="K94" i="8"/>
  <c r="A103" i="33" s="1"/>
  <c r="L17" i="15"/>
  <c r="K17" i="15"/>
  <c r="R126" i="15"/>
  <c r="E168" i="18"/>
  <c r="N55" i="8"/>
  <c r="T166" i="15"/>
  <c r="T165" i="15"/>
  <c r="S165" i="15"/>
  <c r="T164" i="15"/>
  <c r="T163" i="15"/>
  <c r="S163" i="15"/>
  <c r="T162" i="15"/>
  <c r="S162" i="15"/>
  <c r="S166" i="15"/>
  <c r="S164" i="15"/>
  <c r="R166" i="15"/>
  <c r="R165" i="15"/>
  <c r="R164" i="15"/>
  <c r="R163" i="15"/>
  <c r="Q163" i="15"/>
  <c r="R162" i="15"/>
  <c r="Q162" i="15"/>
  <c r="Q166" i="15"/>
  <c r="Q165" i="15"/>
  <c r="Q164" i="15"/>
  <c r="P166" i="15"/>
  <c r="P165" i="15"/>
  <c r="P164" i="15"/>
  <c r="P163" i="15"/>
  <c r="O163" i="15"/>
  <c r="P162" i="15"/>
  <c r="O162" i="15"/>
  <c r="O166" i="15"/>
  <c r="O165" i="15"/>
  <c r="O164" i="15"/>
  <c r="N166" i="15"/>
  <c r="K166" i="15"/>
  <c r="K165" i="15"/>
  <c r="K164" i="15"/>
  <c r="K163" i="15"/>
  <c r="K162" i="15"/>
  <c r="J166" i="15"/>
  <c r="J165" i="15"/>
  <c r="J164" i="15"/>
  <c r="J163" i="15"/>
  <c r="J162" i="15"/>
  <c r="I166" i="15"/>
  <c r="I165" i="15"/>
  <c r="I164" i="15"/>
  <c r="I163" i="15"/>
  <c r="I162" i="15"/>
  <c r="H165" i="15"/>
  <c r="H166" i="15"/>
  <c r="H164" i="15"/>
  <c r="H163" i="15"/>
  <c r="H162" i="15"/>
  <c r="G166" i="15"/>
  <c r="G165" i="15"/>
  <c r="G164" i="15"/>
  <c r="G163" i="15"/>
  <c r="G162" i="15"/>
  <c r="K160" i="15"/>
  <c r="J160" i="15"/>
  <c r="H160" i="15"/>
  <c r="I160" i="15"/>
  <c r="R146" i="15"/>
  <c r="N164" i="15" s="1"/>
  <c r="Q146" i="15"/>
  <c r="M164" i="15" s="1"/>
  <c r="P146" i="15"/>
  <c r="L164" i="15" s="1"/>
  <c r="R136" i="15"/>
  <c r="N163" i="15" s="1"/>
  <c r="Q136" i="15"/>
  <c r="M163" i="15" s="1"/>
  <c r="P136" i="15"/>
  <c r="L163" i="15" s="1"/>
  <c r="Q126" i="15"/>
  <c r="M166" i="15" s="1"/>
  <c r="P126" i="15"/>
  <c r="L166" i="15" s="1"/>
  <c r="R115" i="15"/>
  <c r="N165" i="15" s="1"/>
  <c r="Q115" i="15"/>
  <c r="M165" i="15" s="1"/>
  <c r="P115" i="15"/>
  <c r="L165" i="15"/>
  <c r="R104" i="15"/>
  <c r="N162" i="15" s="1"/>
  <c r="Q104" i="15"/>
  <c r="M162" i="15" s="1"/>
  <c r="P104" i="15"/>
  <c r="L162" i="15" s="1"/>
  <c r="C98" i="18"/>
  <c r="C97" i="18"/>
  <c r="C96" i="18"/>
  <c r="C95" i="18"/>
  <c r="C94"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C77" i="18"/>
  <c r="A77" i="18"/>
  <c r="A75" i="18"/>
  <c r="C63" i="18"/>
  <c r="A63" i="18"/>
  <c r="C62" i="18"/>
  <c r="A62" i="18"/>
  <c r="C61" i="18"/>
  <c r="A61" i="18"/>
  <c r="C60" i="18"/>
  <c r="A60" i="18"/>
  <c r="C59" i="18"/>
  <c r="A59" i="18"/>
  <c r="C58" i="18"/>
  <c r="A58" i="18"/>
  <c r="D57" i="18"/>
  <c r="A57" i="18"/>
  <c r="S57" i="15"/>
  <c r="S58" i="15"/>
  <c r="S59" i="15"/>
  <c r="S60" i="15"/>
  <c r="S61" i="15"/>
  <c r="S62" i="15"/>
  <c r="S63" i="15"/>
  <c r="S64" i="15"/>
  <c r="S65" i="15"/>
  <c r="S66" i="15"/>
  <c r="S67" i="15"/>
  <c r="S68" i="15"/>
  <c r="S69" i="15"/>
  <c r="S70" i="15"/>
  <c r="S56" i="15"/>
  <c r="S55" i="15"/>
  <c r="I6" i="8"/>
  <c r="G3" i="33" s="1"/>
  <c r="F6" i="8"/>
  <c r="S74" i="15"/>
  <c r="S75" i="15"/>
  <c r="S76" i="15"/>
  <c r="S77" i="15"/>
  <c r="S78" i="15"/>
  <c r="S79" i="15"/>
  <c r="S80" i="15"/>
  <c r="S81" i="15"/>
  <c r="S82" i="15"/>
  <c r="S83" i="15"/>
  <c r="S84" i="15"/>
  <c r="S85" i="15"/>
  <c r="S86" i="15"/>
  <c r="S87" i="15"/>
  <c r="S89" i="15"/>
  <c r="S73" i="15"/>
  <c r="S71" i="15"/>
  <c r="S38" i="15"/>
  <c r="S42" i="15"/>
  <c r="S43" i="15"/>
  <c r="S44" i="15"/>
  <c r="S45" i="15"/>
  <c r="S46" i="15"/>
  <c r="S47" i="15"/>
  <c r="S48" i="15"/>
  <c r="S49" i="15"/>
  <c r="S50" i="15"/>
  <c r="S51" i="15"/>
  <c r="S52" i="15"/>
  <c r="S53" i="15"/>
  <c r="S54" i="15"/>
  <c r="S40" i="15"/>
  <c r="S41" i="15"/>
  <c r="S39" i="15"/>
  <c r="I103" i="8"/>
  <c r="B6" i="8"/>
  <c r="D8" i="33" s="1"/>
  <c r="H6" i="8"/>
  <c r="D7" i="33" s="1"/>
  <c r="G6" i="8"/>
  <c r="E6" i="8"/>
  <c r="A24" i="33" s="1"/>
  <c r="D6" i="8"/>
  <c r="D26" i="33" s="1"/>
  <c r="C6" i="8"/>
  <c r="D10" i="33" s="1"/>
  <c r="I13" i="8"/>
  <c r="D48" i="33" s="1"/>
  <c r="I12" i="8"/>
  <c r="D47" i="33" s="1"/>
  <c r="I11" i="8"/>
  <c r="D45" i="33" s="1"/>
  <c r="I10" i="8"/>
  <c r="I9" i="8"/>
  <c r="P39" i="15"/>
  <c r="P40" i="15"/>
  <c r="P41" i="15"/>
  <c r="P42" i="15"/>
  <c r="P43" i="15"/>
  <c r="P44" i="15"/>
  <c r="Q44" i="15" s="1"/>
  <c r="P45" i="15"/>
  <c r="P46" i="15"/>
  <c r="P47" i="15"/>
  <c r="P48" i="15"/>
  <c r="P49" i="15"/>
  <c r="P50" i="15"/>
  <c r="P51" i="15"/>
  <c r="P52" i="15"/>
  <c r="Q52" i="15" s="1"/>
  <c r="P53" i="15"/>
  <c r="P54" i="15"/>
  <c r="P55" i="15"/>
  <c r="P56" i="15"/>
  <c r="Q56" i="15" s="1"/>
  <c r="P57" i="15"/>
  <c r="P58" i="15"/>
  <c r="P59" i="15"/>
  <c r="Q59" i="15" s="1"/>
  <c r="P60" i="15"/>
  <c r="P61" i="15"/>
  <c r="P62" i="15"/>
  <c r="P63" i="15"/>
  <c r="P64" i="15"/>
  <c r="P65" i="15"/>
  <c r="P66" i="15"/>
  <c r="P67" i="15"/>
  <c r="Q67" i="15" s="1"/>
  <c r="P68" i="15"/>
  <c r="Q68" i="15" s="1"/>
  <c r="P69" i="15"/>
  <c r="P70" i="15"/>
  <c r="P71" i="15"/>
  <c r="P72" i="15"/>
  <c r="Q72" i="15" s="1"/>
  <c r="P73" i="15"/>
  <c r="P74" i="15"/>
  <c r="P75" i="15"/>
  <c r="P76" i="15"/>
  <c r="P77" i="15"/>
  <c r="Q77" i="15" s="1"/>
  <c r="P78" i="15"/>
  <c r="P79" i="15"/>
  <c r="P80" i="15"/>
  <c r="Q80" i="15" s="1"/>
  <c r="P81" i="15"/>
  <c r="P82" i="15"/>
  <c r="P83" i="15"/>
  <c r="P84" i="15"/>
  <c r="P85" i="15"/>
  <c r="Q85" i="15" s="1"/>
  <c r="P86" i="15"/>
  <c r="P87" i="15"/>
  <c r="P89" i="15"/>
  <c r="Q89" i="15" s="1"/>
  <c r="P38" i="15"/>
  <c r="Q38" i="15" s="1"/>
  <c r="P29" i="15"/>
  <c r="C26" i="8" s="1"/>
  <c r="P30" i="15"/>
  <c r="P31" i="15"/>
  <c r="Q31" i="15" s="1"/>
  <c r="P32" i="15"/>
  <c r="N130" i="8"/>
  <c r="R131" i="8" s="1"/>
  <c r="U131" i="8" s="1"/>
  <c r="E26" i="8"/>
  <c r="B26" i="8"/>
  <c r="D15" i="8"/>
  <c r="D21" i="33" s="1"/>
  <c r="D13" i="8"/>
  <c r="D19" i="33" s="1"/>
  <c r="D12" i="8"/>
  <c r="D18" i="33" s="1"/>
  <c r="D11" i="8"/>
  <c r="D16" i="33" s="1"/>
  <c r="D10" i="8"/>
  <c r="D17" i="33" s="1"/>
  <c r="D9" i="8"/>
  <c r="D15" i="33" s="1"/>
  <c r="T74" i="15"/>
  <c r="T75" i="15" s="1"/>
  <c r="T76" i="15" s="1"/>
  <c r="T77" i="15" s="1"/>
  <c r="T78" i="15" s="1"/>
  <c r="T79" i="15" s="1"/>
  <c r="T80" i="15" s="1"/>
  <c r="T81" i="15" s="1"/>
  <c r="T82" i="15" s="1"/>
  <c r="T83" i="15" s="1"/>
  <c r="T84" i="15" s="1"/>
  <c r="T85" i="15" s="1"/>
  <c r="T86" i="15" s="1"/>
  <c r="T87" i="15" s="1"/>
  <c r="T56" i="15"/>
  <c r="T57" i="15" s="1"/>
  <c r="T58" i="15" s="1"/>
  <c r="T59" i="15" s="1"/>
  <c r="T60" i="15" s="1"/>
  <c r="T61" i="15" s="1"/>
  <c r="T62" i="15" s="1"/>
  <c r="T63" i="15" s="1"/>
  <c r="T64" i="15" s="1"/>
  <c r="T65" i="15" s="1"/>
  <c r="T66" i="15" s="1"/>
  <c r="T67" i="15" s="1"/>
  <c r="T68" i="15" s="1"/>
  <c r="T69" i="15" s="1"/>
  <c r="T70" i="15" s="1"/>
  <c r="T39" i="15"/>
  <c r="T40" i="15" s="1"/>
  <c r="T41" i="15" s="1"/>
  <c r="T42" i="15" s="1"/>
  <c r="T43" i="15" s="1"/>
  <c r="T44" i="15" s="1"/>
  <c r="T45" i="15" s="1"/>
  <c r="T46" i="15" s="1"/>
  <c r="T47" i="15" s="1"/>
  <c r="T48" i="15" s="1"/>
  <c r="T49" i="15" s="1"/>
  <c r="T50" i="15" s="1"/>
  <c r="T51" i="15" s="1"/>
  <c r="T52" i="15" s="1"/>
  <c r="T53" i="15" s="1"/>
  <c r="T54" i="15" s="1"/>
  <c r="L74" i="8"/>
  <c r="J89" i="8"/>
  <c r="I89" i="8"/>
  <c r="H89" i="8"/>
  <c r="G89" i="8"/>
  <c r="F89" i="8"/>
  <c r="I58" i="8"/>
  <c r="J58" i="8" s="1"/>
  <c r="B112" i="8" s="1"/>
  <c r="I57" i="8"/>
  <c r="J57" i="8" s="1"/>
  <c r="B111" i="8" s="1"/>
  <c r="I56" i="8"/>
  <c r="J56" i="8" s="1"/>
  <c r="B110" i="8" s="1"/>
  <c r="I55" i="8"/>
  <c r="D50" i="8"/>
  <c r="E50" i="8" s="1"/>
  <c r="C50" i="8"/>
  <c r="D49" i="8"/>
  <c r="E49" i="8" s="1"/>
  <c r="C49" i="8"/>
  <c r="C48" i="8"/>
  <c r="A46" i="8"/>
  <c r="E75" i="33" s="1"/>
  <c r="A45" i="8"/>
  <c r="D75" i="33" s="1"/>
  <c r="A44" i="8"/>
  <c r="C75" i="33" s="1"/>
  <c r="B57" i="8"/>
  <c r="A95" i="33" l="1"/>
  <c r="E8" i="30"/>
  <c r="D50" i="33"/>
  <c r="D50" i="18"/>
  <c r="G71" i="33"/>
  <c r="G145" i="33"/>
  <c r="G40" i="33"/>
  <c r="G110" i="33"/>
  <c r="D6" i="18"/>
  <c r="D6" i="33"/>
  <c r="G10" i="33"/>
  <c r="A8" i="28"/>
  <c r="J29" i="8"/>
  <c r="Q87" i="15"/>
  <c r="Q79" i="15"/>
  <c r="Q64" i="15"/>
  <c r="Q71" i="15"/>
  <c r="Q63" i="15"/>
  <c r="Q55" i="15"/>
  <c r="Q40" i="15"/>
  <c r="Q53" i="15"/>
  <c r="Q45" i="15"/>
  <c r="Q81" i="15"/>
  <c r="Q73" i="15"/>
  <c r="Q51" i="15"/>
  <c r="Q43" i="15"/>
  <c r="Q65" i="15"/>
  <c r="Q57" i="15"/>
  <c r="B56" i="8"/>
  <c r="D56" i="8" s="1"/>
  <c r="B59" i="8"/>
  <c r="D59" i="8" s="1"/>
  <c r="D98" i="33" s="1"/>
  <c r="D55" i="8"/>
  <c r="D94" i="33" s="1"/>
  <c r="G80" i="8"/>
  <c r="J80" i="8"/>
  <c r="J55" i="8"/>
  <c r="B109" i="8" s="1"/>
  <c r="K55" i="8"/>
  <c r="Q32" i="15"/>
  <c r="E28" i="8"/>
  <c r="Q48" i="15"/>
  <c r="Q30" i="15"/>
  <c r="Q84" i="15"/>
  <c r="Q76" i="15"/>
  <c r="Q69" i="15"/>
  <c r="Q47" i="15"/>
  <c r="Q41" i="15"/>
  <c r="Q29" i="15"/>
  <c r="Q83" i="15"/>
  <c r="Q75" i="15"/>
  <c r="Q61" i="15"/>
  <c r="Q39" i="15"/>
  <c r="Q49" i="15"/>
  <c r="Q60" i="15"/>
  <c r="Q50" i="15"/>
  <c r="Q42" i="15"/>
  <c r="Q58" i="15"/>
  <c r="Q66" i="15"/>
  <c r="Q74" i="15"/>
  <c r="Q82" i="15"/>
  <c r="Q54" i="15"/>
  <c r="Q46" i="15"/>
  <c r="Q62" i="15"/>
  <c r="Q70" i="15"/>
  <c r="Q78" i="15"/>
  <c r="Q86" i="15"/>
  <c r="D59" i="18"/>
  <c r="D63" i="18"/>
  <c r="I75" i="8"/>
  <c r="G76" i="8"/>
  <c r="C28" i="8"/>
  <c r="D11" i="28"/>
  <c r="E11" i="28"/>
  <c r="D10" i="28"/>
  <c r="G65" i="8"/>
  <c r="E36" i="33" s="1"/>
  <c r="C11" i="28"/>
  <c r="E10" i="28"/>
  <c r="C10" i="28"/>
  <c r="I65" i="8"/>
  <c r="F36" i="33" s="1"/>
  <c r="E65" i="8"/>
  <c r="D36" i="33" s="1"/>
  <c r="D61" i="18"/>
  <c r="H29" i="8"/>
  <c r="J28" i="8"/>
  <c r="G64" i="8"/>
  <c r="E35" i="33" s="1"/>
  <c r="E64" i="8"/>
  <c r="D35" i="33" s="1"/>
  <c r="J75" i="8"/>
  <c r="K93" i="8"/>
  <c r="A102" i="33" s="1"/>
  <c r="E29" i="8"/>
  <c r="I64" i="8"/>
  <c r="F35" i="33" s="1"/>
  <c r="G28" i="8"/>
  <c r="N128" i="8"/>
  <c r="R129" i="8" s="1"/>
  <c r="U129" i="8" s="1"/>
  <c r="D75" i="18"/>
  <c r="D20" i="18"/>
  <c r="F75" i="8"/>
  <c r="H76" i="8"/>
  <c r="C57" i="18"/>
  <c r="D19" i="18"/>
  <c r="D15" i="18"/>
  <c r="K97" i="8"/>
  <c r="A106" i="33" s="1"/>
  <c r="H79" i="8"/>
  <c r="D47" i="18"/>
  <c r="F70" i="8"/>
  <c r="D45" i="18"/>
  <c r="D49" i="18"/>
  <c r="N129" i="8"/>
  <c r="R130" i="8" s="1"/>
  <c r="U130" i="8" s="1"/>
  <c r="G70" i="8"/>
  <c r="G79" i="8"/>
  <c r="F79" i="8"/>
  <c r="K58" i="8"/>
  <c r="M96" i="8" s="1"/>
  <c r="C105" i="33" s="1"/>
  <c r="F48" i="8"/>
  <c r="F74" i="8" s="1"/>
  <c r="D62" i="18"/>
  <c r="G38" i="8"/>
  <c r="E38" i="8"/>
  <c r="C38" i="8"/>
  <c r="D60" i="18"/>
  <c r="F38" i="8"/>
  <c r="D38" i="8"/>
  <c r="A97" i="18"/>
  <c r="A105" i="18"/>
  <c r="R132" i="8"/>
  <c r="U132" i="8" s="1"/>
  <c r="D58" i="8"/>
  <c r="D97" i="33" s="1"/>
  <c r="D57" i="8"/>
  <c r="D96" i="33" s="1"/>
  <c r="K57" i="8"/>
  <c r="H70" i="8"/>
  <c r="K95" i="8"/>
  <c r="A104" i="33" s="1"/>
  <c r="A103" i="18"/>
  <c r="A95" i="18"/>
  <c r="B50" i="8"/>
  <c r="E75" i="18"/>
  <c r="B49" i="8"/>
  <c r="C75" i="18"/>
  <c r="B48" i="8"/>
  <c r="G34" i="8"/>
  <c r="D48" i="18"/>
  <c r="D18" i="18"/>
  <c r="D17" i="18"/>
  <c r="J76" i="8"/>
  <c r="D21" i="18"/>
  <c r="F76" i="8"/>
  <c r="G75" i="8"/>
  <c r="D16" i="18"/>
  <c r="D7" i="18"/>
  <c r="I76" i="8"/>
  <c r="H75" i="8"/>
  <c r="A24" i="18"/>
  <c r="D26" i="18"/>
  <c r="D10" i="18"/>
  <c r="D8" i="18"/>
  <c r="G10" i="18"/>
  <c r="G3" i="18"/>
  <c r="D95" i="18" l="1"/>
  <c r="D95" i="33"/>
  <c r="A102" i="18"/>
  <c r="A94" i="33"/>
  <c r="E7" i="30"/>
  <c r="A96" i="33"/>
  <c r="E9" i="30"/>
  <c r="A98" i="33"/>
  <c r="E11" i="30"/>
  <c r="D94" i="18"/>
  <c r="E55" i="8"/>
  <c r="K56" i="8"/>
  <c r="M94" i="8" s="1"/>
  <c r="C103" i="33" s="1"/>
  <c r="E56" i="8"/>
  <c r="I82" i="8"/>
  <c r="I96" i="8" s="1"/>
  <c r="F82" i="8"/>
  <c r="F96" i="8" s="1"/>
  <c r="H82" i="8"/>
  <c r="H96" i="8" s="1"/>
  <c r="G82" i="8"/>
  <c r="G96" i="8" s="1"/>
  <c r="A94" i="18"/>
  <c r="F36" i="18"/>
  <c r="E36" i="18"/>
  <c r="D36" i="18"/>
  <c r="E35" i="18"/>
  <c r="D35" i="18"/>
  <c r="F35" i="18"/>
  <c r="D96" i="18"/>
  <c r="A106" i="18"/>
  <c r="C119" i="8"/>
  <c r="K59" i="8"/>
  <c r="M97" i="8" s="1"/>
  <c r="C106" i="33" s="1"/>
  <c r="L58" i="8"/>
  <c r="L96" i="8" s="1"/>
  <c r="C112" i="8" s="1"/>
  <c r="J79" i="8"/>
  <c r="J82" i="8" s="1"/>
  <c r="J96" i="8" s="1"/>
  <c r="J74" i="8"/>
  <c r="H74" i="8"/>
  <c r="C121" i="8"/>
  <c r="G74" i="8"/>
  <c r="I74" i="8"/>
  <c r="C39" i="8"/>
  <c r="D64" i="33" s="1"/>
  <c r="C105" i="18"/>
  <c r="N132" i="8"/>
  <c r="R133" i="8" s="1"/>
  <c r="D97" i="18"/>
  <c r="E58" i="8"/>
  <c r="J70" i="8"/>
  <c r="A104" i="18"/>
  <c r="A96" i="18"/>
  <c r="L57" i="8"/>
  <c r="L95" i="8" s="1"/>
  <c r="C111" i="8" s="1"/>
  <c r="M95" i="8"/>
  <c r="C104" i="33" s="1"/>
  <c r="E57" i="8"/>
  <c r="A98" i="18"/>
  <c r="L55" i="8"/>
  <c r="L93" i="8" s="1"/>
  <c r="C109" i="8" s="1"/>
  <c r="M93" i="8"/>
  <c r="C102" i="33" s="1"/>
  <c r="D98" i="18"/>
  <c r="E59" i="8"/>
  <c r="G40" i="18"/>
  <c r="G71" i="18"/>
  <c r="G145" i="18"/>
  <c r="G110" i="18"/>
  <c r="C103" i="18" l="1"/>
  <c r="F8" i="30" s="1"/>
  <c r="L8" i="30" s="1"/>
  <c r="L56" i="8"/>
  <c r="L94" i="8" s="1"/>
  <c r="C110" i="8" s="1"/>
  <c r="C9" i="25"/>
  <c r="F10" i="30"/>
  <c r="L10" i="30" s="1"/>
  <c r="C120" i="8"/>
  <c r="H73" i="8"/>
  <c r="H77" i="8" s="1"/>
  <c r="H91" i="8" s="1"/>
  <c r="J73" i="8"/>
  <c r="M85" i="8" s="1"/>
  <c r="F73" i="8"/>
  <c r="I73" i="8"/>
  <c r="I77" i="8" s="1"/>
  <c r="I91" i="8" s="1"/>
  <c r="G73" i="8"/>
  <c r="G77" i="8" s="1"/>
  <c r="L59" i="8"/>
  <c r="L97" i="8" s="1"/>
  <c r="C113" i="8" s="1"/>
  <c r="R134" i="8"/>
  <c r="V129" i="8" s="1"/>
  <c r="U133" i="8"/>
  <c r="U134" i="8" s="1"/>
  <c r="D64" i="18"/>
  <c r="C104" i="18"/>
  <c r="C102" i="18"/>
  <c r="C106" i="18"/>
  <c r="C7" i="25" l="1"/>
  <c r="F77" i="8"/>
  <c r="F84" i="8" s="1"/>
  <c r="N93" i="8" s="1"/>
  <c r="C8" i="25"/>
  <c r="F9" i="30"/>
  <c r="L9" i="30" s="1"/>
  <c r="C10" i="25"/>
  <c r="F11" i="30"/>
  <c r="L11" i="30" s="1"/>
  <c r="C6" i="25"/>
  <c r="F7" i="30"/>
  <c r="L7" i="30" s="1"/>
  <c r="M86" i="8"/>
  <c r="N85" i="8" s="1"/>
  <c r="G84" i="8"/>
  <c r="N94" i="8" s="1"/>
  <c r="G91" i="8"/>
  <c r="J77" i="8"/>
  <c r="I84" i="8"/>
  <c r="D112" i="8" s="1"/>
  <c r="E112" i="8" s="1"/>
  <c r="F112" i="8" s="1"/>
  <c r="H84" i="8"/>
  <c r="D111" i="8" s="1"/>
  <c r="E111" i="8" s="1"/>
  <c r="F111" i="8" s="1"/>
  <c r="O93" i="8" l="1"/>
  <c r="D102" i="33" s="1"/>
  <c r="P93" i="8"/>
  <c r="F91" i="8"/>
  <c r="F98" i="8" s="1"/>
  <c r="F101" i="8" s="1"/>
  <c r="P94" i="8"/>
  <c r="O94" i="8"/>
  <c r="D103" i="33" s="1"/>
  <c r="D109" i="8"/>
  <c r="E109" i="8" s="1"/>
  <c r="F109" i="8" s="1"/>
  <c r="D110" i="8"/>
  <c r="E110" i="8" s="1"/>
  <c r="F110" i="8" s="1"/>
  <c r="G98" i="8"/>
  <c r="G101" i="8" s="1"/>
  <c r="G112" i="8"/>
  <c r="J84" i="8"/>
  <c r="M81" i="8" s="1"/>
  <c r="J91" i="8"/>
  <c r="N96" i="8"/>
  <c r="I98" i="8"/>
  <c r="I101" i="8" s="1"/>
  <c r="G111" i="8"/>
  <c r="H98" i="8"/>
  <c r="H101" i="8" s="1"/>
  <c r="N95" i="8"/>
  <c r="O95" i="8" s="1"/>
  <c r="D104" i="33" s="1"/>
  <c r="D104" i="18" l="1"/>
  <c r="D103" i="18"/>
  <c r="D102" i="18"/>
  <c r="P96" i="8"/>
  <c r="O96" i="8"/>
  <c r="D105" i="33" s="1"/>
  <c r="G109" i="8"/>
  <c r="G110" i="8"/>
  <c r="N97" i="8"/>
  <c r="O97" i="8" s="1"/>
  <c r="D106" i="33" s="1"/>
  <c r="M80" i="8"/>
  <c r="J98" i="8"/>
  <c r="J101" i="8" s="1"/>
  <c r="F121" i="8" s="1"/>
  <c r="M74" i="8"/>
  <c r="M76" i="8"/>
  <c r="M79" i="8"/>
  <c r="M75" i="8"/>
  <c r="D113" i="8"/>
  <c r="E113" i="8" s="1"/>
  <c r="F113" i="8" s="1"/>
  <c r="F114" i="8" s="1"/>
  <c r="M73" i="8"/>
  <c r="P95" i="8"/>
  <c r="D105" i="18" l="1"/>
  <c r="G10" i="30" s="1"/>
  <c r="M10" i="30" s="1"/>
  <c r="J10" i="30" s="1"/>
  <c r="P97" i="8"/>
  <c r="D106" i="18"/>
  <c r="G11" i="30" s="1"/>
  <c r="M11" i="30" s="1"/>
  <c r="J11" i="30" s="1"/>
  <c r="G9" i="30"/>
  <c r="M9" i="30" s="1"/>
  <c r="J9" i="30" s="1"/>
  <c r="M82" i="8"/>
  <c r="G113" i="8"/>
  <c r="G114" i="8" s="1"/>
  <c r="C118" i="8" s="1"/>
  <c r="C116" i="8" l="1"/>
  <c r="H110" i="8" s="1"/>
  <c r="D9" i="25"/>
  <c r="E9" i="25" s="1"/>
  <c r="D8" i="25"/>
  <c r="E8" i="25" s="1"/>
  <c r="D10" i="25"/>
  <c r="E10" i="25" s="1"/>
  <c r="F140" i="8" l="1"/>
  <c r="F141" i="8" s="1"/>
  <c r="H113" i="8"/>
  <c r="H111" i="8"/>
  <c r="H109" i="8"/>
  <c r="C117" i="8"/>
  <c r="I109" i="8" s="1"/>
  <c r="H112" i="8"/>
  <c r="H114" i="8" l="1"/>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Y129" i="8"/>
  <c r="S129" i="8"/>
  <c r="D124" i="8"/>
  <c r="O140" i="8" s="1"/>
  <c r="O141" i="8" s="1"/>
  <c r="J10" i="25" l="1"/>
  <c r="J6" i="25"/>
  <c r="G21" i="25"/>
  <c r="H21" i="25" s="1"/>
  <c r="J9" i="25"/>
  <c r="J8" i="25"/>
  <c r="J7" i="25"/>
  <c r="E136" i="8"/>
  <c r="H125" i="8"/>
  <c r="G136" i="8"/>
  <c r="T129" i="8"/>
  <c r="T134" i="8" s="1"/>
  <c r="X129" i="8"/>
  <c r="S134" i="8"/>
  <c r="W129" i="8" s="1"/>
  <c r="H8" i="25"/>
  <c r="I8" i="25" s="1"/>
  <c r="H9" i="25"/>
  <c r="I9" i="25" s="1"/>
  <c r="H10" i="25"/>
  <c r="I10" i="25" s="1"/>
  <c r="D23" i="25" s="1"/>
  <c r="H7" i="25"/>
  <c r="I7" i="25" s="1"/>
  <c r="H6" i="25"/>
  <c r="I6" i="25" s="1"/>
  <c r="G8" i="30" l="1"/>
  <c r="M8" i="30" s="1"/>
  <c r="J8" i="30" s="1"/>
  <c r="L112" i="8"/>
  <c r="M112" i="8" s="1"/>
  <c r="L113" i="8"/>
  <c r="M113" i="8" s="1"/>
  <c r="L109" i="8"/>
  <c r="M109" i="8" s="1"/>
  <c r="L110" i="8"/>
  <c r="M110" i="8" s="1"/>
  <c r="L111" i="8"/>
  <c r="M111" i="8" s="1"/>
  <c r="D6" i="25"/>
  <c r="E6" i="25" s="1"/>
  <c r="G7" i="30"/>
  <c r="M7" i="30" s="1"/>
  <c r="J7" i="30" s="1"/>
  <c r="D7" i="25" l="1"/>
  <c r="E7" i="25" s="1"/>
  <c r="F6" i="25" l="1"/>
  <c r="G6" i="25"/>
  <c r="K7" i="30" l="1"/>
  <c r="N7" i="30" s="1"/>
  <c r="E102" i="33" s="1"/>
  <c r="K9" i="30"/>
  <c r="N9" i="30" s="1"/>
  <c r="E104" i="33" s="1"/>
  <c r="K10" i="30"/>
  <c r="N10" i="30" s="1"/>
  <c r="E105" i="33" s="1"/>
  <c r="K11" i="30"/>
  <c r="N11" i="30" s="1"/>
  <c r="E106" i="33" s="1"/>
  <c r="K8" i="30"/>
  <c r="N8" i="30" s="1"/>
  <c r="E103" i="33" s="1"/>
  <c r="E103" i="18" l="1"/>
  <c r="E106" i="18"/>
  <c r="E105" i="18"/>
  <c r="E104" i="18"/>
  <c r="E10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s>
  <commentList>
    <comment ref="C34" authorId="0" shapeId="0" xr:uid="{00000000-0006-0000-0000-00000100000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Aguirre Romero</author>
    <author>EQUIPO01</author>
    <author>STIVINSON</author>
  </authors>
  <commentList>
    <comment ref="K25" authorId="0" shapeId="0" xr:uid="{284A6564-7880-4B94-867C-4674DEE3C279}">
      <text>
        <r>
          <rPr>
            <sz val="9"/>
            <color indexed="81"/>
            <rFont val="Tahoma"/>
            <family val="2"/>
          </rPr>
          <t xml:space="preserve">Para realizar esta carga con pesas (M-016) se usan 200 g sin punto, 2 kg sin punto, 1 kg y 5 kg
</t>
        </r>
      </text>
    </comment>
    <comment ref="B37" authorId="1" shapeId="0" xr:uid="{00000000-0006-0000-0100-000001000000}">
      <text>
        <r>
          <rPr>
            <b/>
            <sz val="9"/>
            <color indexed="81"/>
            <rFont val="Tahoma"/>
            <family val="2"/>
          </rPr>
          <t>SIM MWG7/cg-01v.00, 
Ecuación 6.3.1</t>
        </r>
        <r>
          <rPr>
            <sz val="9"/>
            <color indexed="81"/>
            <rFont val="Tahoma"/>
            <family val="2"/>
          </rPr>
          <t xml:space="preserve">
</t>
        </r>
      </text>
    </comment>
    <comment ref="D47" authorId="1" shapeId="0" xr:uid="{00000000-0006-0000-0100-000002000000}">
      <text>
        <r>
          <rPr>
            <b/>
            <sz val="9"/>
            <color indexed="81"/>
            <rFont val="Tahoma"/>
            <family val="2"/>
          </rPr>
          <t xml:space="preserve">Ecuación </t>
        </r>
        <r>
          <rPr>
            <sz val="9"/>
            <color indexed="81"/>
            <rFont val="Tahoma"/>
            <family val="2"/>
          </rPr>
          <t>6.1-1
SIM MWG7/cg-01v.00</t>
        </r>
      </text>
    </comment>
    <comment ref="A73" authorId="0" shapeId="0" xr:uid="{00000000-0006-0000-0100-000003000000}">
      <text>
        <r>
          <rPr>
            <sz val="9"/>
            <color indexed="81"/>
            <rFont val="Tahoma"/>
            <family val="2"/>
          </rPr>
          <t>Ecuación 7.1.1-10
SIM MWG7/cg-01v.00.</t>
        </r>
      </text>
    </comment>
    <comment ref="A74" authorId="0" shapeId="0" xr:uid="{00000000-0006-0000-0100-000004000000}">
      <text>
        <r>
          <rPr>
            <sz val="9"/>
            <color indexed="81"/>
            <rFont val="Tahoma"/>
            <family val="2"/>
          </rPr>
          <t>Ecuación 7.1.1-5
SIM MWG7/cg-01v.00</t>
        </r>
      </text>
    </comment>
    <comment ref="A75" authorId="0" shapeId="0" xr:uid="{00000000-0006-0000-0100-000005000000}">
      <text>
        <r>
          <rPr>
            <sz val="9"/>
            <color indexed="81"/>
            <rFont val="Tahoma"/>
            <family val="2"/>
          </rPr>
          <t xml:space="preserve">Ecuación 7.1.1-3 a
SIM MWG7/cg-01v.00, </t>
        </r>
      </text>
    </comment>
    <comment ref="A76" authorId="0" shapeId="0" xr:uid="{00000000-0006-0000-0100-000006000000}">
      <text>
        <r>
          <rPr>
            <sz val="9"/>
            <color indexed="81"/>
            <rFont val="Tahoma"/>
            <family val="2"/>
          </rPr>
          <t xml:space="preserve">Ecuación 7.1.1-3 b
SIM MWG7/cg-01v.00
</t>
        </r>
      </text>
    </comment>
    <comment ref="A79" authorId="0" shapeId="0" xr:uid="{00000000-0006-0000-0100-000007000000}">
      <text>
        <r>
          <rPr>
            <sz val="9"/>
            <color indexed="81"/>
            <rFont val="Tahoma"/>
            <family val="2"/>
          </rPr>
          <t>Ecuación 7.1.2-2
SIM MWG7/cg-01v.00</t>
        </r>
      </text>
    </comment>
    <comment ref="A81" authorId="2" shapeId="0" xr:uid="{00000000-0006-0000-0100-000008000000}">
      <text>
        <r>
          <rPr>
            <sz val="9"/>
            <color indexed="81"/>
            <rFont val="Tahoma"/>
            <family val="2"/>
          </rPr>
          <t>Ecuación 7.1.2-11
SIM MWG7/cg-01v.00</t>
        </r>
      </text>
    </comment>
    <comment ref="C82" authorId="0" shapeId="0" xr:uid="{00000000-0006-0000-0100-000009000000}">
      <text>
        <r>
          <rPr>
            <sz val="9"/>
            <color indexed="81"/>
            <rFont val="Tahoma"/>
            <family val="2"/>
          </rPr>
          <t xml:space="preserve">Ecuación 7.1.2-14
SIM MWG7/cg-01v.00
</t>
        </r>
      </text>
    </comment>
    <comment ref="N91" authorId="0" shapeId="0" xr:uid="{00000000-0006-0000-0100-00000A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<sst xmlns="http://schemas.openxmlformats.org/spreadsheetml/2006/main" count="1064" uniqueCount="517">
  <si>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</si>
  <si>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</si>
  <si>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</si>
  <si>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</si>
  <si>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</si>
  <si>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</si>
  <si>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</si>
  <si>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</si>
  <si>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</si>
  <si>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</si>
  <si>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</si>
  <si>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</si>
  <si>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</si>
  <si>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</si>
  <si>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</si>
  <si>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</si>
  <si>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</si>
  <si>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</si>
  <si>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</si>
  <si>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</si>
  <si>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</si>
  <si>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</si>
  <si>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</si>
  <si>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</si>
  <si>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</si>
  <si>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</si>
  <si>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</si>
  <si>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</si>
  <si>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</si>
  <si>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</si>
  <si>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</si>
  <si>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</si>
  <si>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</si>
  <si>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</si>
  <si>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</si>
  <si>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</si>
  <si>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</si>
  <si>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</si>
  <si>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</si>
  <si>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</si>
  <si>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</si>
  <si>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</si>
  <si>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</si>
  <si>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</si>
  <si>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</si>
  <si>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</si>
  <si>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</si>
  <si>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</si>
  <si>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</si>
  <si>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</si>
  <si>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</si>
  <si>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</si>
  <si>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</si>
  <si>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</si>
  <si>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</si>
  <si>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</si>
  <si>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</si>
  <si>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</si>
  <si>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</si>
  <si>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</si>
  <si>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</si>
  <si>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</si>
  <si>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</si>
  <si>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</si>
  <si>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</si>
  <si>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</si>
  <si>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</si>
  <si>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</si>
  <si>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</si>
  <si>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</si>
  <si>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</si>
  <si>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</si>
  <si>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</si>
  <si>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</si>
  <si>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</si>
  <si>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</si>
  <si>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</si>
  <si>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</si>
  <si>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</si>
  <si>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</si>
  <si>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</si>
  <si>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</si>
  <si>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</si>
  <si>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</si>
  <si>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</si>
  <si>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</si>
  <si>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</si>
  <si>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</si>
  <si>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</si>
  <si>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</si>
  <si>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</si>
  <si>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</si>
  <si>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</si>
  <si>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</si>
  <si>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</si>
  <si>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</si>
  <si>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</si>
  <si>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</si>
  <si>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</si>
  <si>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</si>
  <si>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</si>
  <si>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</si>
  <si>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</si>
  <si>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</si>
  <si>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</si>
  <si>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</si>
  <si>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</si>
  <si>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</si>
  <si>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</si>
  <si>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</si>
  <si>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</si>
  <si>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</si>
  <si>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</si>
  <si>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</si>
  <si>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</si>
  <si>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</si>
  <si>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</si>
  <si>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</si>
  <si>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</si>
  <si>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</si>
  <si>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</si>
  <si>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</si>
  <si>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</si>
  <si>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</si>
  <si>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</si>
  <si>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</si>
  <si>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</si>
  <si>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</si>
  <si>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</si>
  <si>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</si>
  <si>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</si>
  <si>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</si>
  <si>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</si>
  <si>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</si>
  <si>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</si>
  <si>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</si>
  <si>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</si>
  <si>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</si>
  <si>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</si>
  <si>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</si>
  <si>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</si>
  <si>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</si>
  <si>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</si>
  <si>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</si>
  <si>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</si>
  <si>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</si>
  <si>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</si>
  <si>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</si>
  <si>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</si>
  <si>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</si>
  <si>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</si>
  <si>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</si>
  <si>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</si>
  <si>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</si>
  <si>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</si>
  <si>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</si>
  <si>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</si>
  <si>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</si>
  <si>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</si>
  <si>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</si>
  <si>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</si>
  <si>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</si>
  <si>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</si>
  <si>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</si>
  <si>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</si>
  <si>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</si>
  <si>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</si>
  <si>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</si>
  <si>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</si>
  <si>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</si>
  <si>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</si>
  <si>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</si>
  <si>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</si>
  <si>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</si>
  <si>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</si>
  <si>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</si>
  <si>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</si>
  <si>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</si>
  <si>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</si>
  <si>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</si>
  <si>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</si>
  <si>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</si>
  <si>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</si>
  <si>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</si>
  <si>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</si>
  <si>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</si>
  <si>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</si>
  <si>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</si>
  <si>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</si>
  <si>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</si>
  <si>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</si>
  <si>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</si>
  <si>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</si>
  <si>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</si>
  <si>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</si>
  <si>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</si>
  <si>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</si>
  <si>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</si>
  <si>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</si>
  <si>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</si>
  <si>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</si>
  <si>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</si>
  <si>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</si>
  <si>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</si>
  <si>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</si>
  <si>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</si>
  <si>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</si>
  <si>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</si>
  <si>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</si>
  <si>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</si>
  <si>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</si>
  <si>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</si>
  <si>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</si>
  <si>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</si>
  <si>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</si>
  <si>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</si>
  <si>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</si>
  <si>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</si>
  <si>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</si>
  <si>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</si>
  <si>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</si>
  <si>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</si>
  <si>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</si>
  <si>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</si>
  <si>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</si>
  <si>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</si>
  <si>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</si>
  <si>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</si>
  <si>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</si>
  <si>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</si>
  <si>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</si>
  <si>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</si>
  <si>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</si>
  <si>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</si>
  <si>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</si>
  <si>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</si>
  <si>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</si>
  <si>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</si>
  <si>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</si>
  <si>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</si>
  <si>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</si>
  <si>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</si>
  <si>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</si>
  <si>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</si>
  <si>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</si>
  <si>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</si>
  <si>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</si>
  <si>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</si>
  <si>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</si>
  <si>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</si>
  <si>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</si>
  <si>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</si>
  <si>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</si>
  <si>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</si>
  <si>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</si>
  <si>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</si>
  <si>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</si>
  <si>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</si>
  <si>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REPETICIÓN. N°</t>
  </si>
  <si>
    <t xml:space="preserve"> Certificado N°</t>
  </si>
  <si>
    <t xml:space="preserve"> Fecha de elaboración: </t>
  </si>
  <si>
    <t>DESPUÉS DE AJUSTE</t>
  </si>
  <si>
    <t>°C m</t>
  </si>
  <si>
    <t>°C b</t>
  </si>
  <si>
    <t>hPa m</t>
  </si>
  <si>
    <t>hPa b</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</si>
  <si>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</si>
  <si>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</si>
  <si>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</si>
  <si>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</si>
  <si>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</si>
  <si>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</si>
  <si>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</si>
  <si>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</si>
  <si>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</si>
  <si>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</si>
  <si>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</si>
  <si>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</si>
  <si>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</si>
  <si>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</si>
  <si>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</si>
  <si>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</si>
  <si>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</si>
  <si>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</si>
  <si>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</si>
  <si>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</si>
  <si>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</si>
  <si>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</si>
  <si>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</si>
  <si>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</si>
  <si>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</si>
  <si>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</si>
  <si>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</si>
  <si>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</si>
  <si>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</si>
  <si>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</si>
  <si>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</si>
  <si>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</si>
  <si>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</si>
  <si>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</si>
  <si>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</si>
  <si>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</si>
  <si>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</si>
  <si>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</si>
  <si>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</si>
  <si>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</si>
  <si>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</si>
  <si>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</si>
  <si>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</si>
  <si>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</si>
  <si>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</si>
  <si>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</si>
  <si>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</si>
  <si>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</si>
  <si>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</si>
  <si>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</si>
  <si>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</si>
  <si>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</si>
  <si>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</si>
  <si>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</si>
  <si>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</si>
  <si>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</si>
  <si>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</si>
  <si>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Juego viajeras  V2</t>
  </si>
  <si>
    <t>Juego Viajeras V1</t>
  </si>
  <si>
    <t>INM 4216</t>
  </si>
  <si>
    <t>INM 4217</t>
  </si>
  <si>
    <t xml:space="preserve">Carga </t>
  </si>
  <si>
    <t>Valor Nominal</t>
  </si>
  <si>
    <t>Carga Baja</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</si>
  <si>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</si>
  <si>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</si>
  <si>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</si>
  <si>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</si>
  <si>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</si>
  <si>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</si>
  <si>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</si>
  <si>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</si>
  <si>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</si>
  <si>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</si>
  <si>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</si>
  <si>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</si>
  <si>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</si>
  <si>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</si>
  <si>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</si>
  <si>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</si>
  <si>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</si>
  <si>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</si>
  <si>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</si>
  <si>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</si>
  <si>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</si>
  <si>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</si>
  <si>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</si>
  <si>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</si>
  <si>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</si>
  <si>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</si>
  <si>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</si>
  <si>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</si>
  <si>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</si>
  <si>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</si>
  <si>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</si>
  <si>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</si>
  <si>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</si>
  <si>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</si>
  <si>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</si>
  <si>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</si>
  <si>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</si>
  <si>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</si>
  <si>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</si>
  <si>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</si>
  <si>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</si>
  <si>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</si>
  <si>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</si>
  <si>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</si>
  <si>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</si>
  <si>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</si>
  <si>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</si>
  <si>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</si>
  <si>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</si>
  <si>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</si>
  <si>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</si>
  <si>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</si>
  <si>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</si>
  <si>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</si>
  <si>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</si>
  <si>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</si>
  <si>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</si>
  <si>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</si>
  <si>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</si>
  <si>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</si>
  <si>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</si>
  <si>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</si>
  <si>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</si>
  <si>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</si>
  <si>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</si>
  <si>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</si>
  <si>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</si>
  <si>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</si>
  <si>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</si>
  <si>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V 1 RL.  8200 kg</t>
  </si>
  <si>
    <t>ERROR DE INDICACIÓN   Después de Ajuste (mg)</t>
  </si>
  <si>
    <t>ERROR DE INDICACIÓN Después de Ajuste  (g)</t>
  </si>
  <si>
    <t>según certificado pesas patrón</t>
  </si>
  <si>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</si>
  <si>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</si>
  <si>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</si>
  <si>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</si>
  <si>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</si>
  <si>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</si>
  <si>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</si>
  <si>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</si>
  <si>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</si>
  <si>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</si>
  <si>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</si>
  <si>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</si>
  <si>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</si>
  <si>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</si>
  <si>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</si>
  <si>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</si>
  <si>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</si>
  <si>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</si>
  <si>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</si>
  <si>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</si>
  <si>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</si>
  <si>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</si>
  <si>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</si>
  <si>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</si>
  <si>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</si>
  <si>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</si>
  <si>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</si>
  <si>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</si>
  <si>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</si>
  <si>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</si>
  <si>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</si>
  <si>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</si>
  <si>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</si>
  <si>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Los resultados de la calibración son trazables al Sistema Internacional (SI).</t>
  </si>
  <si>
    <t xml:space="preserve"> Fecha de emisión: </t>
  </si>
  <si>
    <t>Carga mín (g)</t>
  </si>
  <si>
    <t>Masa para completar la carga Máx. (g)</t>
  </si>
  <si>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</si>
  <si>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</si>
  <si>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</si>
  <si>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</si>
  <si>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Error (g)</t>
  </si>
  <si>
    <r>
      <t>Xi</t>
    </r>
    <r>
      <rPr>
        <b/>
        <vertAlign val="superscript"/>
        <sz val="11"/>
        <color theme="0" tint="-0.14999847407452621"/>
        <rFont val="Arial"/>
        <family val="2"/>
      </rPr>
      <t>2</t>
    </r>
  </si>
  <si>
    <t>±U (g)     CMC</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</si>
  <si>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</si>
  <si>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</si>
  <si>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</si>
  <si>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</si>
  <si>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</si>
  <si>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</si>
  <si>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</si>
  <si>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</si>
  <si>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</si>
  <si>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</si>
  <si>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</si>
  <si>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t>Lugar y Dirección de Calibración</t>
  </si>
  <si>
    <t>N/A</t>
  </si>
  <si>
    <r>
      <rPr>
        <b/>
        <sz val="10"/>
        <color theme="1"/>
        <rFont val="Tahoma"/>
        <family val="2"/>
      </rPr>
      <t>±</t>
    </r>
    <r>
      <rPr>
        <b/>
        <sz val="10"/>
        <color theme="1"/>
        <rFont val="Arial"/>
        <family val="2"/>
      </rPr>
      <t>(EMP) en Uso</t>
    </r>
  </si>
  <si>
    <t xml:space="preserve">Error en masa convencional </t>
  </si>
  <si>
    <t xml:space="preserve">Incertidumbre </t>
  </si>
  <si>
    <t xml:space="preserve"> ±EMP </t>
  </si>
  <si>
    <t>Probabilidad de conformidad</t>
  </si>
  <si>
    <t>Probabilidad de NO conformidad</t>
  </si>
  <si>
    <r>
      <t xml:space="preserve">5 g </t>
    </r>
    <r>
      <rPr>
        <sz val="10"/>
        <color theme="1"/>
        <rFont val="Tahoma"/>
        <family val="2"/>
      </rPr>
      <t>≤</t>
    </r>
    <r>
      <rPr>
        <sz val="10"/>
        <color theme="1"/>
        <rFont val="Arial"/>
        <family val="2"/>
      </rPr>
      <t xml:space="preserve"> m ≤   5 000 g</t>
    </r>
  </si>
  <si>
    <r>
      <t xml:space="preserve">5 000 g </t>
    </r>
    <r>
      <rPr>
        <sz val="10"/>
        <color theme="1"/>
        <rFont val="Tahoma"/>
        <family val="2"/>
      </rPr>
      <t>≤</t>
    </r>
    <r>
      <rPr>
        <sz val="10"/>
        <color theme="1"/>
        <rFont val="Arial"/>
        <family val="2"/>
      </rPr>
      <t xml:space="preserve"> m ≤ 8 200 g</t>
    </r>
  </si>
  <si>
    <t>INM 4629</t>
  </si>
  <si>
    <t>INM 4630</t>
  </si>
  <si>
    <t>INM 4626</t>
  </si>
  <si>
    <t>2020-07-07 / 2020-7-08 / 2020-05-29</t>
  </si>
  <si>
    <t>INM  4629 - INM 4630 - INM 4626</t>
  </si>
  <si>
    <t>INM 4610</t>
  </si>
  <si>
    <t>INM 4611</t>
  </si>
  <si>
    <t>INM 4625</t>
  </si>
  <si>
    <t>2020-06-18 / 2020-06-19/ 2020-05-29</t>
  </si>
  <si>
    <t>INM-4610, INM 4611 - INM 4625</t>
  </si>
  <si>
    <t>INM 4703</t>
  </si>
  <si>
    <t xml:space="preserve">2019-09-24  / 2019-09-25  / 2020-10-02 </t>
  </si>
  <si>
    <t>INM 4216 - INM 4217 -  INM 4703</t>
  </si>
  <si>
    <t>INM 4608</t>
  </si>
  <si>
    <t>INM 4609</t>
  </si>
  <si>
    <t>INM 4623</t>
  </si>
  <si>
    <t>2020-06-18 2020-06-19- 2020-05-29</t>
  </si>
  <si>
    <t>INM 4608 - INM 4609 -   INM 4623</t>
  </si>
  <si>
    <t>INM 4627</t>
  </si>
  <si>
    <t>INM 4628</t>
  </si>
  <si>
    <t>INM 4624</t>
  </si>
  <si>
    <t>2020-07-07 / 2020-07-08 / 2020-05-29</t>
  </si>
  <si>
    <t>INM-4627-INM 4628-INM 4624</t>
  </si>
  <si>
    <t>Balanza digital</t>
  </si>
  <si>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</si>
  <si>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V 1 RL.  6 kg</t>
  </si>
  <si>
    <t>F 2</t>
  </si>
  <si>
    <t xml:space="preserve">V 2 RL.  8 200 g  </t>
  </si>
  <si>
    <t xml:space="preserve">V 2 RL.  6 000 g  </t>
  </si>
  <si>
    <t xml:space="preserve">V 2 RL.  5 000 g  </t>
  </si>
  <si>
    <t xml:space="preserve">V 2 RL.  2 000 g punto </t>
  </si>
  <si>
    <t xml:space="preserve">V 2 RL.  2 000 g  </t>
  </si>
  <si>
    <t xml:space="preserve">V 2 RL.  1 000 g  </t>
  </si>
  <si>
    <r>
      <t>Densidad del Aire kg/m</t>
    </r>
    <r>
      <rPr>
        <b/>
        <vertAlign val="superscript"/>
        <sz val="12"/>
        <rFont val="Arial"/>
        <family val="2"/>
      </rPr>
      <t>3</t>
    </r>
    <r>
      <rPr>
        <b/>
        <sz val="12"/>
        <rFont val="Arial"/>
        <family val="2"/>
      </rPr>
      <t xml:space="preserve"> Actual</t>
    </r>
  </si>
  <si>
    <t xml:space="preserve">V 2 RL.  4 000 g </t>
  </si>
  <si>
    <r>
      <rPr>
        <b/>
        <sz val="9"/>
        <color theme="1"/>
        <rFont val="Arial"/>
        <family val="2"/>
      </rPr>
      <t>NOTA</t>
    </r>
    <r>
      <rPr>
        <sz val="9"/>
        <color theme="1"/>
        <rFont val="Arial"/>
        <family val="2"/>
      </rPr>
      <t>: Las condiciones ambientales se refieren al sitio y al momento de la calibración.</t>
    </r>
  </si>
  <si>
    <t>Responsable de la calibración</t>
  </si>
  <si>
    <t>CMC Balanza   d = 0,1 g</t>
  </si>
  <si>
    <t>Cumple</t>
  </si>
  <si>
    <t>|E|</t>
  </si>
  <si>
    <t>z</t>
  </si>
  <si>
    <t>Nominal</t>
  </si>
  <si>
    <t xml:space="preserve"> Modificación al Certificado N°</t>
  </si>
  <si>
    <t>Hora final</t>
  </si>
  <si>
    <r>
      <rPr>
        <b/>
        <sz val="9"/>
        <rFont val="Arial"/>
        <family val="2"/>
      </rPr>
      <t>NOTA</t>
    </r>
    <r>
      <rPr>
        <sz val="9"/>
        <rFont val="Arial"/>
        <family val="2"/>
      </rPr>
      <t>: Las condiciones ambientales se refieren al sitio y al momento de la calibración.</t>
    </r>
  </si>
  <si>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</si>
  <si>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</si>
  <si>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</si>
  <si>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t>El laboratorio no se responsabiliza de los resultados que puedan ser afectados por la desviación del estado en que se recibió 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</si>
</sst>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 numFmtId="197" formatCode="####\ ##0\ .0000"/>
    <numFmt numFmtId="198" formatCode="0.000%"/>
  </numFmts>
  <fonts count="7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b/>
      <sz val="10"/>
      <color theme="1"/>
      <name val="Tahoma"/>
      <family val="2"/>
    </font>
    <font>
      <sz val="10"/>
      <color theme="1"/>
      <name val="Tahoma"/>
      <family val="2"/>
    </font>
    <font>
      <sz val="11"/>
      <color theme="0"/>
      <name val="Calibri"/>
      <family val="2"/>
      <scheme val="minor"/>
    </font>
    <font>
      <sz val="8"/>
      <name val="Calibri"/>
      <family val="2"/>
      <scheme val="minor"/>
    </font>
    <font>
      <b/>
      <sz val="8"/>
      <color theme="1"/>
      <name val="Arial"/>
      <family val="2"/>
    </font>
    <font>
      <b/>
      <sz val="20"/>
      <color theme="1"/>
      <name val="Arial"/>
      <family val="2"/>
    </font>
    <font>
      <b/>
      <sz val="18"/>
      <color theme="1"/>
      <name val="Arial"/>
      <family val="2"/>
    </font>
    <font>
      <sz val="9"/>
      <name val="Arial"/>
      <family val="2"/>
    </font>
    <font>
      <b/>
      <i/>
      <sz val="11"/>
      <name val="Arial"/>
      <family val="2"/>
    </font>
    <font>
      <b/>
      <sz val="10"/>
      <name val="Tahoma"/>
      <family val="2"/>
    </font>
    <font>
      <sz val="10"/>
      <name val="Tahoma"/>
      <family val="2"/>
    </font>
    <font>
      <b/>
      <sz val="8"/>
      <name val="Arial"/>
      <family val="2"/>
    </font>
  </fonts>
  <fills count="2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theme="0"/>
        <bgColor auto="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39">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176" fontId="9" fillId="0" borderId="0" xfId="2" applyNumberFormat="1" applyFont="1" applyFill="1" applyBorder="1" applyAlignment="1" applyProtection="1">
      <protection hidden="1"/>
    </xf>
    <xf numFmtId="2" fontId="14" fillId="0" borderId="0" xfId="0" applyNumberFormat="1" applyFont="1" applyFill="1" applyBorder="1" applyAlignment="1" applyProtection="1">
      <alignment vertical="center" wrapText="1"/>
      <protection hidden="1"/>
    </xf>
    <xf numFmtId="2" fontId="8" fillId="6" borderId="35"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Border="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Border="1" applyAlignment="1" applyProtection="1">
      <alignment horizontal="left" vertical="center"/>
      <protection hidden="1"/>
    </xf>
    <xf numFmtId="11" fontId="8" fillId="2" borderId="0" xfId="0" applyNumberFormat="1" applyFont="1" applyFill="1" applyBorder="1" applyProtection="1">
      <protection hidden="1"/>
    </xf>
    <xf numFmtId="14" fontId="6" fillId="9" borderId="48"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8"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protection hidden="1"/>
    </xf>
    <xf numFmtId="2" fontId="1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vertical="center" wrapText="1"/>
      <protection hidden="1"/>
    </xf>
    <xf numFmtId="2" fontId="15" fillId="2" borderId="0" xfId="0" applyNumberFormat="1" applyFont="1" applyFill="1" applyBorder="1" applyProtection="1">
      <protection hidden="1"/>
    </xf>
    <xf numFmtId="171" fontId="14" fillId="9" borderId="35" xfId="0"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Border="1" applyProtection="1">
      <protection hidden="1"/>
    </xf>
    <xf numFmtId="0" fontId="30" fillId="0" borderId="0" xfId="0" applyFont="1" applyAlignment="1" applyProtection="1">
      <alignment horizontal="center" vertical="center"/>
      <protection hidden="1"/>
    </xf>
    <xf numFmtId="0" fontId="29" fillId="0" borderId="4" xfId="0" applyNumberFormat="1" applyFont="1" applyBorder="1" applyAlignment="1" applyProtection="1">
      <protection hidden="1"/>
    </xf>
    <xf numFmtId="0" fontId="29" fillId="0" borderId="5" xfId="0" applyNumberFormat="1" applyFont="1" applyBorder="1" applyAlignment="1" applyProtection="1">
      <protection hidden="1"/>
    </xf>
    <xf numFmtId="0" fontId="29" fillId="0" borderId="39" xfId="0" applyNumberFormat="1" applyFont="1" applyBorder="1" applyAlignment="1" applyProtection="1">
      <protection hidden="1"/>
    </xf>
    <xf numFmtId="0" fontId="30" fillId="0" borderId="0" xfId="0" applyFont="1" applyFill="1" applyBorder="1" applyProtection="1">
      <protection hidden="1"/>
    </xf>
    <xf numFmtId="0" fontId="30" fillId="0" borderId="0" xfId="0" applyFont="1" applyFill="1" applyProtection="1">
      <protection hidden="1"/>
    </xf>
    <xf numFmtId="0" fontId="30" fillId="0" borderId="7" xfId="0" applyNumberFormat="1" applyFont="1" applyFill="1" applyBorder="1" applyProtection="1">
      <protection hidden="1"/>
    </xf>
    <xf numFmtId="0" fontId="30" fillId="0" borderId="8" xfId="0" applyNumberFormat="1" applyFont="1" applyFill="1" applyBorder="1" applyProtection="1">
      <protection hidden="1"/>
    </xf>
    <xf numFmtId="0" fontId="29" fillId="0" borderId="7"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vertical="center" wrapText="1"/>
      <protection hidden="1"/>
    </xf>
    <xf numFmtId="0" fontId="29" fillId="0" borderId="12" xfId="0" applyNumberFormat="1" applyFont="1" applyFill="1" applyBorder="1" applyAlignment="1" applyProtection="1">
      <alignment horizontal="center"/>
      <protection hidden="1"/>
    </xf>
    <xf numFmtId="0" fontId="30" fillId="0" borderId="39"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Protection="1">
      <protection hidden="1"/>
    </xf>
    <xf numFmtId="0" fontId="29" fillId="0" borderId="0" xfId="0" applyFont="1" applyFill="1" applyBorder="1" applyProtection="1">
      <protection hidden="1"/>
    </xf>
    <xf numFmtId="0" fontId="29" fillId="0" borderId="0" xfId="0" applyFont="1" applyBorder="1" applyAlignment="1" applyProtection="1">
      <alignment horizontal="center"/>
      <protection hidden="1"/>
    </xf>
    <xf numFmtId="0" fontId="31" fillId="0" borderId="0" xfId="0" applyFont="1" applyBorder="1" applyAlignment="1" applyProtection="1">
      <alignment vertical="center" textRotation="90"/>
      <protection hidden="1"/>
    </xf>
    <xf numFmtId="0" fontId="29" fillId="0" borderId="0" xfId="0" applyFont="1" applyBorder="1" applyAlignment="1" applyProtection="1">
      <alignment horizontal="center" vertical="center"/>
      <protection hidden="1"/>
    </xf>
    <xf numFmtId="0" fontId="30" fillId="0" borderId="22" xfId="0" applyFont="1" applyBorder="1" applyProtection="1">
      <protection hidden="1"/>
    </xf>
    <xf numFmtId="0" fontId="31" fillId="0" borderId="31" xfId="0" applyFont="1" applyBorder="1" applyAlignment="1" applyProtection="1">
      <alignment vertical="center" textRotation="90"/>
      <protection hidden="1"/>
    </xf>
    <xf numFmtId="0" fontId="30" fillId="0" borderId="31" xfId="0" applyFont="1" applyBorder="1" applyAlignment="1" applyProtection="1">
      <protection hidden="1"/>
    </xf>
    <xf numFmtId="0" fontId="30" fillId="0" borderId="31" xfId="0" applyFont="1" applyBorder="1" applyProtection="1">
      <protection hidden="1"/>
    </xf>
    <xf numFmtId="0" fontId="30" fillId="0" borderId="15" xfId="0" applyFont="1" applyBorder="1" applyProtection="1">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3" fontId="29" fillId="17" borderId="4"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0" fontId="30" fillId="0" borderId="24" xfId="0" applyFont="1" applyBorder="1" applyProtection="1">
      <protection hidden="1"/>
    </xf>
    <xf numFmtId="174" fontId="29" fillId="2" borderId="5" xfId="0" applyNumberFormat="1" applyFont="1" applyFill="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33" fillId="0" borderId="0" xfId="0" applyFont="1" applyProtection="1">
      <protection hidden="1"/>
    </xf>
    <xf numFmtId="0" fontId="30" fillId="0" borderId="59" xfId="0" applyFont="1" applyBorder="1" applyAlignment="1" applyProtection="1">
      <alignment horizontal="center" vertical="center"/>
      <protection hidden="1"/>
    </xf>
    <xf numFmtId="0" fontId="30" fillId="0" borderId="12" xfId="0" applyFont="1" applyFill="1" applyBorder="1" applyProtection="1">
      <protection hidden="1"/>
    </xf>
    <xf numFmtId="0" fontId="29" fillId="0" borderId="43" xfId="0" applyNumberFormat="1" applyFont="1" applyBorder="1" applyAlignment="1" applyProtection="1">
      <protection hidden="1"/>
    </xf>
    <xf numFmtId="0" fontId="29" fillId="0" borderId="20" xfId="0" applyNumberFormat="1" applyFont="1" applyBorder="1" applyAlignment="1" applyProtection="1">
      <protection hidden="1"/>
    </xf>
    <xf numFmtId="0" fontId="30" fillId="0" borderId="44" xfId="0" applyFont="1" applyBorder="1" applyProtection="1">
      <protection hidden="1"/>
    </xf>
    <xf numFmtId="0" fontId="30" fillId="0" borderId="7" xfId="0" applyFont="1" applyBorder="1" applyProtection="1">
      <protection hidden="1"/>
    </xf>
    <xf numFmtId="0" fontId="30" fillId="0" borderId="12" xfId="0" applyFont="1" applyBorder="1" applyProtection="1">
      <protection hidden="1"/>
    </xf>
    <xf numFmtId="0" fontId="30" fillId="0" borderId="43" xfId="0" applyFont="1" applyBorder="1" applyProtection="1">
      <protection hidden="1"/>
    </xf>
    <xf numFmtId="1" fontId="8" fillId="13" borderId="35" xfId="3" applyNumberFormat="1" applyFont="1" applyBorder="1" applyAlignment="1" applyProtection="1">
      <alignment horizontal="center" vertical="center"/>
      <protection locked="0" hidden="1"/>
    </xf>
    <xf numFmtId="1" fontId="8" fillId="13" borderId="16" xfId="3" applyNumberFormat="1" applyFont="1" applyBorder="1" applyAlignment="1" applyProtection="1">
      <alignment horizontal="center" vertical="center" wrapText="1"/>
      <protection locked="0" hidden="1"/>
    </xf>
    <xf numFmtId="175" fontId="8" fillId="4" borderId="14" xfId="0" applyNumberFormat="1" applyFont="1" applyFill="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5" xfId="0" applyNumberFormat="1" applyFont="1" applyFill="1" applyBorder="1" applyAlignment="1" applyProtection="1">
      <alignment horizontal="center" vertical="center" wrapText="1"/>
      <protection locked="0" hidden="1"/>
    </xf>
    <xf numFmtId="3" fontId="29" fillId="20" borderId="43" xfId="0" applyNumberFormat="1" applyFont="1" applyFill="1" applyBorder="1" applyAlignment="1" applyProtection="1">
      <alignment horizontal="center" vertical="center" wrapText="1"/>
      <protection hidden="1"/>
    </xf>
    <xf numFmtId="0" fontId="30" fillId="0" borderId="4" xfId="0" applyFont="1" applyBorder="1" applyProtection="1">
      <protection hidden="1"/>
    </xf>
    <xf numFmtId="0" fontId="30" fillId="15" borderId="1" xfId="0" applyFont="1" applyFill="1" applyBorder="1" applyAlignment="1" applyProtection="1">
      <alignment horizontal="center" vertical="center"/>
      <protection hidden="1"/>
    </xf>
    <xf numFmtId="169" fontId="30" fillId="15" borderId="1" xfId="0" applyNumberFormat="1" applyFont="1" applyFill="1" applyBorder="1" applyAlignment="1" applyProtection="1">
      <alignment horizontal="center" vertical="center"/>
      <protection hidden="1"/>
    </xf>
    <xf numFmtId="171" fontId="30" fillId="15" borderId="1" xfId="0" applyNumberFormat="1" applyFont="1" applyFill="1" applyBorder="1" applyAlignment="1" applyProtection="1">
      <alignment horizontal="center" vertical="center"/>
      <protection hidden="1"/>
    </xf>
    <xf numFmtId="2" fontId="30" fillId="15" borderId="1" xfId="0" applyNumberFormat="1" applyFont="1" applyFill="1" applyBorder="1" applyAlignment="1" applyProtection="1">
      <alignment horizontal="center" vertical="center"/>
      <protection hidden="1"/>
    </xf>
    <xf numFmtId="0" fontId="30" fillId="15" borderId="8" xfId="0" applyFont="1" applyFill="1" applyBorder="1" applyAlignment="1" applyProtection="1">
      <alignment horizontal="center" vertical="center"/>
      <protection hidden="1"/>
    </xf>
    <xf numFmtId="169" fontId="30" fillId="15" borderId="8" xfId="0" applyNumberFormat="1" applyFont="1" applyFill="1" applyBorder="1" applyAlignment="1" applyProtection="1">
      <alignment horizontal="center" vertical="center"/>
      <protection hidden="1"/>
    </xf>
    <xf numFmtId="0" fontId="30" fillId="15" borderId="4" xfId="0"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protection hidden="1"/>
    </xf>
    <xf numFmtId="166" fontId="30" fillId="15" borderId="5" xfId="0" applyNumberFormat="1" applyFont="1" applyFill="1" applyBorder="1" applyAlignment="1" applyProtection="1">
      <alignment horizontal="center" vertical="center"/>
      <protection hidden="1"/>
    </xf>
    <xf numFmtId="2" fontId="30" fillId="15" borderId="5" xfId="0" applyNumberFormat="1" applyFont="1" applyFill="1" applyBorder="1" applyAlignment="1" applyProtection="1">
      <alignment horizontal="center" vertical="center"/>
      <protection hidden="1"/>
    </xf>
    <xf numFmtId="169" fontId="30" fillId="15" borderId="5" xfId="0" applyNumberFormat="1" applyFont="1" applyFill="1" applyBorder="1" applyAlignment="1" applyProtection="1">
      <alignment horizontal="center" vertical="center"/>
      <protection hidden="1"/>
    </xf>
    <xf numFmtId="0" fontId="30" fillId="15" borderId="41" xfId="0" applyFont="1" applyFill="1" applyBorder="1" applyAlignment="1" applyProtection="1">
      <alignment horizontal="center" vertical="center" wrapText="1"/>
      <protection hidden="1"/>
    </xf>
    <xf numFmtId="165" fontId="30" fillId="15" borderId="1" xfId="0" applyNumberFormat="1" applyFont="1" applyFill="1" applyBorder="1" applyAlignment="1" applyProtection="1">
      <alignment horizontal="center" vertical="center"/>
      <protection hidden="1"/>
    </xf>
    <xf numFmtId="0" fontId="30" fillId="15" borderId="7" xfId="0" applyFont="1" applyFill="1" applyBorder="1" applyAlignment="1" applyProtection="1">
      <alignment horizontal="center" vertical="center" wrapText="1"/>
      <protection hidden="1"/>
    </xf>
    <xf numFmtId="171" fontId="30" fillId="15" borderId="8" xfId="0" applyNumberFormat="1" applyFont="1" applyFill="1" applyBorder="1" applyAlignment="1" applyProtection="1">
      <alignment horizontal="center" vertical="center"/>
      <protection hidden="1"/>
    </xf>
    <xf numFmtId="164" fontId="30" fillId="15" borderId="5" xfId="0" applyNumberFormat="1" applyFont="1" applyFill="1" applyBorder="1" applyAlignment="1" applyProtection="1">
      <alignment horizontal="center" vertical="center"/>
      <protection hidden="1"/>
    </xf>
    <xf numFmtId="166" fontId="30" fillId="15" borderId="1" xfId="0" applyNumberFormat="1" applyFont="1" applyFill="1" applyBorder="1" applyAlignment="1" applyProtection="1">
      <alignment horizontal="center" vertical="center"/>
      <protection hidden="1"/>
    </xf>
    <xf numFmtId="164" fontId="30" fillId="15" borderId="1" xfId="0" applyNumberFormat="1" applyFont="1" applyFill="1" applyBorder="1" applyAlignment="1" applyProtection="1">
      <alignment horizontal="center" vertical="center"/>
      <protection hidden="1"/>
    </xf>
    <xf numFmtId="165" fontId="30" fillId="15" borderId="5" xfId="0" applyNumberFormat="1" applyFont="1" applyFill="1" applyBorder="1" applyAlignment="1" applyProtection="1">
      <alignment horizontal="center" vertical="center"/>
      <protection hidden="1"/>
    </xf>
    <xf numFmtId="1" fontId="8" fillId="9" borderId="4"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1"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2"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9" xfId="0" applyNumberFormat="1" applyFont="1" applyFill="1" applyBorder="1" applyAlignment="1" applyProtection="1">
      <alignment horizontal="center" vertical="center" wrapText="1"/>
      <protection hidden="1"/>
    </xf>
    <xf numFmtId="171" fontId="14" fillId="9" borderId="42"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6"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6"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5" fillId="16" borderId="5" xfId="0" applyFont="1" applyFill="1" applyBorder="1" applyAlignment="1" applyProtection="1">
      <alignment horizontal="left" vertical="center" wrapText="1"/>
      <protection hidden="1"/>
    </xf>
    <xf numFmtId="1" fontId="8" fillId="9" borderId="39" xfId="0" applyNumberFormat="1" applyFont="1" applyFill="1" applyBorder="1" applyAlignment="1" applyProtection="1">
      <alignment horizontal="center" vertical="center" wrapText="1"/>
      <protection hidden="1"/>
    </xf>
    <xf numFmtId="0" fontId="35" fillId="16"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6"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31" xfId="2" applyNumberFormat="1" applyFont="1" applyFill="1" applyBorder="1" applyAlignment="1" applyProtection="1">
      <protection hidden="1"/>
    </xf>
    <xf numFmtId="1" fontId="10" fillId="13" borderId="16" xfId="3" applyNumberFormat="1" applyFont="1" applyBorder="1" applyAlignment="1" applyProtection="1">
      <alignment horizontal="center" vertical="center"/>
      <protection locked="0" hidden="1"/>
    </xf>
    <xf numFmtId="0" fontId="8" fillId="9" borderId="42" xfId="0"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Continuous" vertical="center" wrapText="1"/>
      <protection hidden="1"/>
    </xf>
    <xf numFmtId="2" fontId="8" fillId="9" borderId="65" xfId="0" applyNumberFormat="1" applyFont="1" applyFill="1" applyBorder="1" applyAlignment="1" applyProtection="1">
      <alignment horizontal="centerContinuous" vertical="center" wrapText="1"/>
      <protection hidden="1"/>
    </xf>
    <xf numFmtId="2" fontId="8" fillId="9" borderId="68" xfId="0" applyNumberFormat="1" applyFont="1" applyFill="1" applyBorder="1" applyAlignment="1" applyProtection="1">
      <alignment horizontal="centerContinuous" vertical="center" wrapText="1"/>
      <protection hidden="1"/>
    </xf>
    <xf numFmtId="1" fontId="8" fillId="9" borderId="55"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6"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3" xfId="0" applyNumberFormat="1" applyFont="1" applyFill="1" applyBorder="1" applyAlignment="1" applyProtection="1">
      <alignment horizontal="center" vertical="center" wrapText="1"/>
      <protection hidden="1"/>
    </xf>
    <xf numFmtId="169" fontId="8" fillId="6" borderId="70" xfId="0" applyNumberFormat="1" applyFont="1" applyFill="1" applyBorder="1" applyAlignment="1" applyProtection="1">
      <alignment horizontal="center" vertical="center"/>
      <protection hidden="1"/>
    </xf>
    <xf numFmtId="169" fontId="8" fillId="6" borderId="71" xfId="0" applyNumberFormat="1" applyFont="1" applyFill="1" applyBorder="1" applyAlignment="1" applyProtection="1">
      <alignment horizontal="center" vertical="center"/>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9"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51" xfId="0" applyFont="1" applyBorder="1" applyProtection="1">
      <protection hidden="1"/>
    </xf>
    <xf numFmtId="0" fontId="30" fillId="0" borderId="51" xfId="0" applyFont="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8" xfId="0" applyNumberFormat="1" applyFont="1" applyFill="1" applyBorder="1" applyAlignment="1" applyProtection="1">
      <alignment horizontal="centerContinuous" vertical="center" wrapText="1"/>
      <protection hidden="1"/>
    </xf>
    <xf numFmtId="0" fontId="7"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40" xfId="0" applyNumberFormat="1" applyFont="1" applyFill="1" applyBorder="1" applyAlignment="1" applyProtection="1">
      <alignment horizontal="center" vertical="center"/>
      <protection hidden="1"/>
    </xf>
    <xf numFmtId="171" fontId="8" fillId="0" borderId="0" xfId="0" applyNumberFormat="1" applyFont="1" applyFill="1" applyBorder="1" applyProtection="1">
      <protection hidden="1"/>
    </xf>
    <xf numFmtId="2" fontId="14" fillId="9" borderId="12"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9" fillId="6" borderId="41" xfId="0" applyNumberFormat="1"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9" xfId="0" applyNumberFormat="1" applyFont="1" applyFill="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protection locked="0" hidden="1"/>
    </xf>
    <xf numFmtId="180" fontId="30" fillId="15" borderId="1" xfId="0" applyNumberFormat="1"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19" borderId="4" xfId="0"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protection hidden="1"/>
    </xf>
    <xf numFmtId="171" fontId="29" fillId="19" borderId="5" xfId="0" applyNumberFormat="1"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29" fillId="19" borderId="42" xfId="0" applyFont="1" applyFill="1" applyBorder="1" applyAlignment="1" applyProtection="1">
      <alignment horizontal="center" vertical="center"/>
      <protection hidden="1"/>
    </xf>
    <xf numFmtId="0" fontId="29" fillId="19" borderId="12" xfId="0" applyFont="1" applyFill="1" applyBorder="1" applyAlignment="1" applyProtection="1">
      <alignment horizontal="center" vertical="center"/>
      <protection hidden="1"/>
    </xf>
    <xf numFmtId="0" fontId="29" fillId="19" borderId="39" xfId="0"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protection hidden="1"/>
    </xf>
    <xf numFmtId="0" fontId="29" fillId="19" borderId="7" xfId="0"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71" fontId="29" fillId="19" borderId="4" xfId="0" applyNumberFormat="1"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182" fontId="8" fillId="7" borderId="1" xfId="0" applyNumberFormat="1" applyFont="1" applyFill="1" applyBorder="1" applyAlignment="1" applyProtection="1">
      <alignment horizontal="center" vertical="center"/>
      <protection locked="0" hidden="1"/>
    </xf>
    <xf numFmtId="185" fontId="8" fillId="9" borderId="1" xfId="0" applyNumberFormat="1" applyFont="1" applyFill="1" applyBorder="1" applyAlignment="1" applyProtection="1">
      <alignment horizontal="center" vertical="center"/>
      <protection hidden="1"/>
    </xf>
    <xf numFmtId="166" fontId="8" fillId="6" borderId="69"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9"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4" fontId="8" fillId="9" borderId="5"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85" fontId="8" fillId="9" borderId="8"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1" fontId="8" fillId="6" borderId="51" xfId="0" applyNumberFormat="1" applyFont="1" applyFill="1" applyBorder="1" applyAlignment="1" applyProtection="1">
      <alignment horizontal="center" vertical="center"/>
      <protection hidden="1"/>
    </xf>
    <xf numFmtId="1" fontId="8" fillId="6" borderId="59" xfId="0" applyNumberFormat="1" applyFont="1" applyFill="1" applyBorder="1" applyAlignment="1" applyProtection="1">
      <alignment horizontal="center" vertical="center"/>
      <protection hidden="1"/>
    </xf>
    <xf numFmtId="182" fontId="8" fillId="7" borderId="42" xfId="0" applyNumberFormat="1" applyFont="1" applyFill="1" applyBorder="1" applyAlignment="1" applyProtection="1">
      <alignment horizontal="center" vertical="center"/>
      <protection locked="0" hidden="1"/>
    </xf>
    <xf numFmtId="2" fontId="14" fillId="6" borderId="34"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175" fontId="8" fillId="4" borderId="10" xfId="0" applyNumberFormat="1" applyFont="1" applyFill="1" applyBorder="1" applyAlignment="1" applyProtection="1">
      <alignment horizontal="center" vertical="center"/>
      <protection locked="0"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5" xfId="0" applyNumberFormat="1" applyFont="1" applyFill="1" applyBorder="1" applyAlignment="1" applyProtection="1">
      <alignment horizontal="center" vertical="center" wrapText="1"/>
      <protection hidden="1"/>
    </xf>
    <xf numFmtId="1" fontId="2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9" fillId="6" borderId="1" xfId="0" applyNumberFormat="1" applyFont="1" applyFill="1" applyBorder="1" applyAlignment="1" applyProtection="1">
      <alignment horizontal="center" vertical="center" wrapText="1"/>
      <protection hidden="1"/>
    </xf>
    <xf numFmtId="0" fontId="29" fillId="6" borderId="42" xfId="0" applyNumberFormat="1" applyFont="1" applyFill="1" applyBorder="1" applyAlignment="1" applyProtection="1">
      <alignment horizontal="center" vertical="center" wrapText="1"/>
      <protection hidden="1"/>
    </xf>
    <xf numFmtId="168" fontId="29" fillId="15" borderId="1" xfId="0" applyNumberFormat="1" applyFont="1" applyFill="1" applyBorder="1" applyAlignment="1" applyProtection="1">
      <alignment horizontal="center" vertical="center"/>
      <protection locked="0" hidden="1"/>
    </xf>
    <xf numFmtId="187" fontId="29" fillId="15" borderId="1" xfId="0" applyNumberFormat="1" applyFont="1" applyFill="1" applyBorder="1" applyAlignment="1" applyProtection="1">
      <alignment horizontal="center" vertical="center" wrapText="1"/>
      <protection locked="0" hidden="1"/>
    </xf>
    <xf numFmtId="0" fontId="30" fillId="19" borderId="5" xfId="0" applyFont="1" applyFill="1" applyBorder="1" applyAlignment="1" applyProtection="1">
      <alignment horizontal="center" vertical="center"/>
      <protection hidden="1"/>
    </xf>
    <xf numFmtId="169" fontId="30" fillId="19" borderId="1" xfId="0" applyNumberFormat="1" applyFont="1" applyFill="1" applyBorder="1" applyAlignment="1" applyProtection="1">
      <alignment horizontal="center" vertical="center"/>
      <protection hidden="1"/>
    </xf>
    <xf numFmtId="0" fontId="30" fillId="19" borderId="1" xfId="0" applyFont="1" applyFill="1" applyBorder="1" applyAlignment="1" applyProtection="1">
      <alignment horizontal="center" vertical="center"/>
      <protection hidden="1"/>
    </xf>
    <xf numFmtId="168" fontId="30" fillId="15" borderId="1" xfId="0" applyNumberFormat="1" applyFont="1" applyFill="1" applyBorder="1" applyAlignment="1" applyProtection="1">
      <alignment horizontal="center" vertical="center"/>
      <protection hidden="1"/>
    </xf>
    <xf numFmtId="181" fontId="30" fillId="15" borderId="1" xfId="0" applyNumberFormat="1" applyFont="1" applyFill="1" applyBorder="1" applyAlignment="1" applyProtection="1">
      <alignment horizontal="center" vertical="center"/>
      <protection hidden="1"/>
    </xf>
    <xf numFmtId="0" fontId="30" fillId="15" borderId="1" xfId="4" applyFont="1" applyFill="1" applyBorder="1" applyProtection="1">
      <alignment horizontal="center" vertical="center"/>
      <protection hidden="1"/>
    </xf>
    <xf numFmtId="168" fontId="30" fillId="15" borderId="8" xfId="0" applyNumberFormat="1" applyFont="1" applyFill="1" applyBorder="1" applyAlignment="1" applyProtection="1">
      <alignment horizontal="center" vertical="center"/>
      <protection hidden="1"/>
    </xf>
    <xf numFmtId="168" fontId="30" fillId="15" borderId="5" xfId="0" applyNumberFormat="1" applyFont="1" applyFill="1" applyBorder="1" applyAlignment="1" applyProtection="1">
      <alignment horizontal="center" vertical="center"/>
      <protection hidden="1"/>
    </xf>
    <xf numFmtId="181" fontId="30" fillId="15" borderId="5" xfId="0" applyNumberFormat="1" applyFont="1" applyFill="1" applyBorder="1" applyAlignment="1" applyProtection="1">
      <alignment horizontal="center" vertical="center"/>
      <protection hidden="1"/>
    </xf>
    <xf numFmtId="181" fontId="30" fillId="15" borderId="8" xfId="0" applyNumberFormat="1" applyFont="1" applyFill="1" applyBorder="1" applyAlignment="1" applyProtection="1">
      <alignment horizontal="center" vertical="center"/>
      <protection hidden="1"/>
    </xf>
    <xf numFmtId="1" fontId="10" fillId="13" borderId="16" xfId="3" applyNumberFormat="1" applyFont="1" applyBorder="1" applyAlignment="1" applyProtection="1">
      <alignment horizontal="center" vertical="center" wrapText="1"/>
      <protection locked="0" hidden="1"/>
    </xf>
    <xf numFmtId="191" fontId="8" fillId="9" borderId="1" xfId="0" applyNumberFormat="1" applyFont="1" applyFill="1" applyBorder="1" applyAlignment="1" applyProtection="1">
      <alignment horizontal="center" vertical="center"/>
      <protection hidden="1"/>
    </xf>
    <xf numFmtId="192" fontId="8" fillId="7" borderId="4" xfId="0" applyNumberFormat="1" applyFont="1" applyFill="1" applyBorder="1" applyAlignment="1" applyProtection="1">
      <alignment horizontal="center" vertical="center"/>
      <protection locked="0" hidden="1"/>
    </xf>
    <xf numFmtId="192" fontId="8" fillId="7" borderId="1" xfId="0" applyNumberFormat="1" applyFont="1" applyFill="1" applyBorder="1" applyAlignment="1" applyProtection="1">
      <alignment horizontal="center" vertical="center"/>
      <protection locked="0" hidden="1"/>
    </xf>
    <xf numFmtId="192" fontId="8" fillId="7" borderId="5" xfId="0" applyNumberFormat="1" applyFont="1" applyFill="1" applyBorder="1" applyAlignment="1" applyProtection="1">
      <alignment horizontal="center" vertical="center"/>
      <protection locked="0" hidden="1"/>
    </xf>
    <xf numFmtId="192" fontId="8" fillId="7" borderId="39" xfId="0" applyNumberFormat="1" applyFont="1" applyFill="1" applyBorder="1" applyAlignment="1" applyProtection="1">
      <alignment horizontal="center" vertical="center"/>
      <protection locked="0" hidden="1"/>
    </xf>
    <xf numFmtId="192" fontId="8" fillId="7" borderId="41" xfId="0" applyNumberFormat="1" applyFont="1" applyFill="1" applyBorder="1" applyAlignment="1" applyProtection="1">
      <alignment horizontal="center" vertical="center"/>
      <protection locked="0" hidden="1"/>
    </xf>
    <xf numFmtId="192" fontId="8" fillId="7" borderId="42" xfId="0" applyNumberFormat="1" applyFont="1" applyFill="1" applyBorder="1" applyAlignment="1" applyProtection="1">
      <alignment horizontal="center" vertical="center"/>
      <protection locked="0" hidden="1"/>
    </xf>
    <xf numFmtId="192" fontId="8" fillId="7" borderId="7" xfId="0" applyNumberFormat="1" applyFont="1" applyFill="1" applyBorder="1" applyAlignment="1" applyProtection="1">
      <alignment horizontal="center" vertical="center"/>
      <protection locked="0" hidden="1"/>
    </xf>
    <xf numFmtId="192" fontId="8" fillId="7" borderId="8" xfId="0" applyNumberFormat="1" applyFont="1" applyFill="1" applyBorder="1" applyAlignment="1" applyProtection="1">
      <alignment horizontal="center" vertical="center"/>
      <protection locked="0" hidden="1"/>
    </xf>
    <xf numFmtId="2" fontId="8" fillId="6" borderId="69" xfId="0" applyNumberFormat="1" applyFont="1" applyFill="1" applyBorder="1" applyAlignment="1" applyProtection="1">
      <alignment horizontal="center" vertical="center"/>
      <protection hidden="1"/>
    </xf>
    <xf numFmtId="1" fontId="8" fillId="6" borderId="70" xfId="0" applyNumberFormat="1" applyFont="1" applyFill="1" applyBorder="1" applyAlignment="1" applyProtection="1">
      <alignment horizontal="center" vertical="center" wrapText="1"/>
      <protection hidden="1"/>
    </xf>
    <xf numFmtId="1" fontId="8" fillId="6" borderId="71" xfId="0" applyNumberFormat="1" applyFont="1" applyFill="1" applyBorder="1" applyAlignment="1" applyProtection="1">
      <alignment horizontal="center" vertical="center" wrapText="1"/>
      <protection hidden="1"/>
    </xf>
    <xf numFmtId="194" fontId="8" fillId="7" borderId="12" xfId="0" applyNumberFormat="1" applyFont="1" applyFill="1" applyBorder="1" applyAlignment="1" applyProtection="1">
      <alignment horizontal="center" vertical="center"/>
      <protection locked="0" hidden="1"/>
    </xf>
    <xf numFmtId="192" fontId="8" fillId="7" borderId="45" xfId="0" applyNumberFormat="1" applyFont="1" applyFill="1" applyBorder="1" applyAlignment="1" applyProtection="1">
      <alignment horizontal="center" vertical="center"/>
      <protection locked="0" hidden="1"/>
    </xf>
    <xf numFmtId="192" fontId="8" fillId="7" borderId="32" xfId="0" applyNumberFormat="1" applyFont="1" applyFill="1" applyBorder="1" applyAlignment="1" applyProtection="1">
      <alignment horizontal="center" vertical="center"/>
      <protection locked="0" hidden="1"/>
    </xf>
    <xf numFmtId="171" fontId="8" fillId="9" borderId="42"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6" borderId="71"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193" fontId="8" fillId="7" borderId="41" xfId="0" applyNumberFormat="1" applyFont="1" applyFill="1" applyBorder="1" applyAlignment="1" applyProtection="1">
      <alignment horizontal="center" vertical="center"/>
      <protection locked="0" hidden="1"/>
    </xf>
    <xf numFmtId="2" fontId="8" fillId="6" borderId="58" xfId="0" applyNumberFormat="1" applyFont="1" applyFill="1" applyBorder="1" applyAlignment="1" applyProtection="1">
      <alignment horizontal="center" vertical="center" wrapText="1"/>
      <protection hidden="1"/>
    </xf>
    <xf numFmtId="2" fontId="8" fillId="6" borderId="51" xfId="0" applyNumberFormat="1" applyFont="1" applyFill="1" applyBorder="1" applyAlignment="1" applyProtection="1">
      <alignment horizontal="center" vertical="center" wrapText="1"/>
      <protection hidden="1"/>
    </xf>
    <xf numFmtId="171" fontId="30" fillId="19" borderId="1"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protection hidden="1"/>
    </xf>
    <xf numFmtId="187" fontId="8" fillId="2" borderId="0" xfId="0" applyNumberFormat="1" applyFont="1" applyFill="1" applyBorder="1" applyAlignment="1" applyProtection="1">
      <alignment horizontal="center"/>
      <protection hidden="1"/>
    </xf>
    <xf numFmtId="14" fontId="29" fillId="15" borderId="1" xfId="0" applyNumberFormat="1" applyFont="1" applyFill="1" applyBorder="1" applyAlignment="1" applyProtection="1">
      <alignment horizontal="center" vertical="center" wrapText="1"/>
      <protection locked="0" hidden="1"/>
    </xf>
    <xf numFmtId="2" fontId="14" fillId="6" borderId="5" xfId="0" applyNumberFormat="1" applyFont="1" applyFill="1" applyBorder="1" applyAlignment="1" applyProtection="1">
      <alignment horizontal="center" vertical="center"/>
      <protection hidden="1"/>
    </xf>
    <xf numFmtId="3" fontId="29" fillId="20" borderId="4" xfId="0" applyNumberFormat="1" applyFont="1" applyFill="1" applyBorder="1" applyAlignment="1" applyProtection="1">
      <alignment horizontal="center" vertical="center" wrapText="1"/>
      <protection hidden="1"/>
    </xf>
    <xf numFmtId="9" fontId="30" fillId="6" borderId="42"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wrapText="1"/>
      <protection hidden="1"/>
    </xf>
    <xf numFmtId="2" fontId="8" fillId="9" borderId="67" xfId="0" applyNumberFormat="1" applyFont="1" applyFill="1" applyBorder="1" applyAlignment="1" applyProtection="1">
      <alignment horizontal="center" vertical="center"/>
      <protection hidden="1"/>
    </xf>
    <xf numFmtId="9" fontId="9" fillId="9" borderId="35" xfId="1" applyNumberFormat="1" applyFont="1" applyFill="1" applyBorder="1" applyAlignment="1" applyProtection="1">
      <alignment horizontal="center" vertical="center"/>
      <protection hidden="1"/>
    </xf>
    <xf numFmtId="0" fontId="24" fillId="6" borderId="33" xfId="0" applyFont="1" applyFill="1" applyBorder="1" applyAlignment="1" applyProtection="1">
      <alignment horizontal="center" vertical="center" wrapText="1"/>
      <protection hidden="1"/>
    </xf>
    <xf numFmtId="2" fontId="8" fillId="0" borderId="0" xfId="0" applyNumberFormat="1" applyFont="1" applyFill="1" applyAlignment="1" applyProtection="1">
      <alignment horizontal="center" vertical="center"/>
      <protection hidden="1"/>
    </xf>
    <xf numFmtId="0" fontId="30" fillId="0" borderId="1" xfId="0" applyFont="1" applyFill="1" applyBorder="1" applyAlignment="1" applyProtection="1">
      <alignment horizontal="center" vertical="center"/>
      <protection hidden="1"/>
    </xf>
    <xf numFmtId="166" fontId="30" fillId="19" borderId="5" xfId="0" applyNumberFormat="1" applyFont="1" applyFill="1" applyBorder="1" applyAlignment="1" applyProtection="1">
      <alignment horizontal="center" vertical="center"/>
      <protection hidden="1"/>
    </xf>
    <xf numFmtId="168" fontId="30" fillId="0" borderId="1" xfId="0" applyNumberFormat="1" applyFont="1" applyFill="1" applyBorder="1" applyAlignment="1" applyProtection="1">
      <alignment horizontal="center" vertical="center"/>
      <protection hidden="1"/>
    </xf>
    <xf numFmtId="169" fontId="30" fillId="0" borderId="1" xfId="0" applyNumberFormat="1" applyFont="1" applyFill="1" applyBorder="1" applyAlignment="1" applyProtection="1">
      <alignment horizontal="center" vertical="center"/>
      <protection hidden="1"/>
    </xf>
    <xf numFmtId="164" fontId="30" fillId="19" borderId="1" xfId="0" applyNumberFormat="1" applyFont="1" applyFill="1" applyBorder="1" applyAlignment="1" applyProtection="1">
      <alignment horizontal="center" vertical="center"/>
      <protection hidden="1"/>
    </xf>
    <xf numFmtId="166" fontId="30" fillId="0" borderId="1"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vertical="center" wrapText="1"/>
      <protection hidden="1"/>
    </xf>
    <xf numFmtId="2" fontId="14" fillId="6" borderId="72" xfId="0" applyNumberFormat="1" applyFont="1" applyFill="1" applyBorder="1" applyAlignment="1" applyProtection="1">
      <alignment vertical="center" wrapText="1"/>
      <protection hidden="1"/>
    </xf>
    <xf numFmtId="2" fontId="14" fillId="6" borderId="27" xfId="0" applyNumberFormat="1" applyFont="1" applyFill="1" applyBorder="1" applyAlignment="1" applyProtection="1">
      <alignment vertical="center" wrapText="1"/>
      <protection hidden="1"/>
    </xf>
    <xf numFmtId="2" fontId="14" fillId="6" borderId="76" xfId="0" applyNumberFormat="1" applyFont="1" applyFill="1" applyBorder="1" applyAlignment="1" applyProtection="1">
      <alignment vertical="center" wrapText="1"/>
      <protection hidden="1"/>
    </xf>
    <xf numFmtId="171" fontId="8" fillId="0" borderId="0" xfId="0" applyNumberFormat="1" applyFont="1" applyProtection="1">
      <protection hidden="1"/>
    </xf>
    <xf numFmtId="2" fontId="18" fillId="6" borderId="43" xfId="0" applyNumberFormat="1" applyFont="1" applyFill="1" applyBorder="1" applyAlignment="1" applyProtection="1">
      <alignment horizontal="center" vertical="center" wrapText="1"/>
      <protection hidden="1"/>
    </xf>
    <xf numFmtId="2" fontId="24" fillId="6" borderId="20" xfId="0" applyNumberFormat="1" applyFont="1" applyFill="1" applyBorder="1" applyAlignment="1" applyProtection="1">
      <alignment horizontal="center" vertical="center" wrapText="1"/>
      <protection hidden="1"/>
    </xf>
    <xf numFmtId="2" fontId="20" fillId="3" borderId="69" xfId="0" applyNumberFormat="1" applyFont="1" applyFill="1" applyBorder="1" applyAlignment="1" applyProtection="1">
      <alignment horizontal="center" vertical="top"/>
      <protection hidden="1"/>
    </xf>
    <xf numFmtId="2" fontId="18" fillId="6" borderId="70" xfId="0" applyNumberFormat="1" applyFont="1" applyFill="1" applyBorder="1" applyAlignment="1" applyProtection="1">
      <alignment horizontal="center" vertical="center"/>
      <protection hidden="1"/>
    </xf>
    <xf numFmtId="2" fontId="18" fillId="6" borderId="70" xfId="0" applyNumberFormat="1" applyFont="1" applyFill="1" applyBorder="1" applyAlignment="1" applyProtection="1">
      <alignment horizontal="left" vertical="center"/>
      <protection hidden="1"/>
    </xf>
    <xf numFmtId="2" fontId="18" fillId="6" borderId="70" xfId="0" applyNumberFormat="1" applyFont="1" applyFill="1" applyBorder="1" applyAlignment="1" applyProtection="1">
      <alignment vertical="center"/>
      <protection hidden="1"/>
    </xf>
    <xf numFmtId="2" fontId="8" fillId="6" borderId="70" xfId="0" applyNumberFormat="1" applyFont="1" applyFill="1" applyBorder="1" applyAlignment="1" applyProtection="1">
      <alignment horizontal="center" vertical="center"/>
      <protection hidden="1"/>
    </xf>
    <xf numFmtId="172" fontId="8" fillId="6" borderId="71" xfId="0" applyNumberFormat="1" applyFont="1" applyFill="1" applyBorder="1" applyProtection="1">
      <protection hidden="1"/>
    </xf>
    <xf numFmtId="173" fontId="8" fillId="9" borderId="65" xfId="0" applyNumberFormat="1" applyFont="1" applyFill="1" applyBorder="1" applyAlignment="1" applyProtection="1">
      <alignment horizontal="center" vertical="center" wrapText="1"/>
      <protection hidden="1"/>
    </xf>
    <xf numFmtId="173" fontId="8" fillId="9" borderId="66" xfId="0" applyNumberFormat="1" applyFont="1" applyFill="1" applyBorder="1" applyAlignment="1" applyProtection="1">
      <alignment horizontal="center" vertical="center"/>
      <protection hidden="1"/>
    </xf>
    <xf numFmtId="11" fontId="8" fillId="9" borderId="66" xfId="0" applyNumberFormat="1" applyFont="1" applyFill="1" applyBorder="1" applyAlignment="1" applyProtection="1">
      <alignment horizontal="center" vertical="center"/>
      <protection hidden="1"/>
    </xf>
    <xf numFmtId="173" fontId="8" fillId="9" borderId="67"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31" xfId="0" applyNumberFormat="1"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0" fontId="4" fillId="6" borderId="35" xfId="2"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2" fontId="9" fillId="6" borderId="35"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72" fontId="26" fillId="8" borderId="70" xfId="0" applyNumberFormat="1" applyFont="1" applyFill="1" applyBorder="1" applyAlignment="1" applyProtection="1">
      <alignment horizontal="center" vertical="center"/>
      <protection hidden="1"/>
    </xf>
    <xf numFmtId="2" fontId="50" fillId="8" borderId="70" xfId="0" applyNumberFormat="1" applyFont="1" applyFill="1" applyBorder="1" applyAlignment="1" applyProtection="1">
      <alignment horizontal="center" vertical="center"/>
      <protection hidden="1"/>
    </xf>
    <xf numFmtId="2" fontId="50" fillId="3" borderId="71" xfId="0" applyNumberFormat="1" applyFont="1" applyFill="1" applyBorder="1" applyAlignment="1" applyProtection="1">
      <alignment horizontal="center" vertical="center"/>
      <protection hidden="1"/>
    </xf>
    <xf numFmtId="2" fontId="9" fillId="9" borderId="44" xfId="0" applyNumberFormat="1" applyFont="1" applyFill="1" applyBorder="1" applyAlignment="1" applyProtection="1">
      <alignment horizontal="center" vertical="center"/>
      <protection hidden="1"/>
    </xf>
    <xf numFmtId="11" fontId="8" fillId="9" borderId="45"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6" fillId="8" borderId="69" xfId="0" applyNumberFormat="1" applyFont="1" applyFill="1" applyBorder="1" applyAlignment="1" applyProtection="1">
      <alignment horizontal="center" vertical="center"/>
      <protection hidden="1"/>
    </xf>
    <xf numFmtId="2" fontId="26" fillId="8" borderId="70" xfId="0" applyNumberFormat="1" applyFont="1" applyFill="1" applyBorder="1" applyAlignment="1" applyProtection="1">
      <alignment horizontal="center" vertical="center"/>
      <protection hidden="1"/>
    </xf>
    <xf numFmtId="2" fontId="50" fillId="3" borderId="70"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6" xfId="0" applyNumberFormat="1" applyFont="1" applyFill="1" applyBorder="1" applyAlignment="1" applyProtection="1">
      <alignment horizontal="center" vertical="center"/>
      <protection hidden="1"/>
    </xf>
    <xf numFmtId="167" fontId="8"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8" fillId="9" borderId="4" xfId="0" applyFont="1" applyFill="1" applyBorder="1" applyAlignment="1" applyProtection="1">
      <alignment horizontal="center" vertical="center"/>
      <protection hidden="1"/>
    </xf>
    <xf numFmtId="164" fontId="8" fillId="9" borderId="5" xfId="0" applyNumberFormat="1" applyFont="1" applyFill="1" applyBorder="1" applyAlignment="1" applyProtection="1">
      <alignment horizontal="center" vertical="center"/>
      <protection hidden="1"/>
    </xf>
    <xf numFmtId="0" fontId="8" fillId="9" borderId="39" xfId="0" applyFont="1" applyFill="1" applyBorder="1" applyAlignment="1" applyProtection="1">
      <alignment horizontal="center" vertical="center"/>
      <protection hidden="1"/>
    </xf>
    <xf numFmtId="0" fontId="48" fillId="6" borderId="32" xfId="0" applyFont="1" applyFill="1" applyBorder="1" applyAlignment="1" applyProtection="1">
      <alignment horizontal="center" vertical="center" wrapText="1"/>
      <protection hidden="1"/>
    </xf>
    <xf numFmtId="0" fontId="30" fillId="0" borderId="41" xfId="0" applyFont="1" applyFill="1" applyBorder="1" applyAlignment="1" applyProtection="1">
      <alignment horizontal="center" vertical="center" wrapText="1"/>
      <protection hidden="1"/>
    </xf>
    <xf numFmtId="1" fontId="8" fillId="6" borderId="6" xfId="0" applyNumberFormat="1" applyFont="1" applyFill="1" applyBorder="1" applyAlignment="1" applyProtection="1">
      <alignment horizontal="center" vertical="center"/>
      <protection hidden="1"/>
    </xf>
    <xf numFmtId="196" fontId="8" fillId="9" borderId="66" xfId="0" applyNumberFormat="1" applyFont="1" applyFill="1" applyBorder="1" applyAlignment="1" applyProtection="1">
      <alignment horizontal="center" vertical="center"/>
      <protection hidden="1"/>
    </xf>
    <xf numFmtId="2" fontId="9" fillId="9" borderId="48" xfId="0" applyNumberFormat="1" applyFont="1" applyFill="1" applyBorder="1" applyAlignment="1" applyProtection="1">
      <alignment horizontal="center" vertical="center"/>
      <protection hidden="1"/>
    </xf>
    <xf numFmtId="2" fontId="9"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73"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4" xfId="0" applyNumberFormat="1" applyFont="1" applyFill="1" applyBorder="1" applyAlignment="1" applyProtection="1">
      <alignment horizontal="center" vertical="center" wrapText="1"/>
      <protection hidden="1"/>
    </xf>
    <xf numFmtId="182" fontId="8" fillId="7" borderId="3" xfId="0" applyNumberFormat="1" applyFont="1" applyFill="1" applyBorder="1" applyAlignment="1" applyProtection="1">
      <alignment horizontal="center" vertical="center"/>
      <protection locked="0"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9" xfId="0" applyNumberFormat="1" applyFont="1" applyFill="1" applyBorder="1" applyAlignment="1" applyProtection="1">
      <alignment horizontal="center" vertical="center"/>
      <protection hidden="1"/>
    </xf>
    <xf numFmtId="2" fontId="14" fillId="6" borderId="70" xfId="0" applyNumberFormat="1" applyFont="1" applyFill="1" applyBorder="1" applyAlignment="1" applyProtection="1">
      <alignment horizontal="center" vertical="center" wrapText="1"/>
      <protection hidden="1"/>
    </xf>
    <xf numFmtId="2" fontId="14"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4" borderId="8" xfId="0" applyNumberFormat="1" applyFill="1" applyBorder="1" applyAlignment="1">
      <alignment horizontal="center"/>
    </xf>
    <xf numFmtId="2" fontId="8" fillId="6" borderId="62" xfId="0" applyNumberFormat="1" applyFont="1" applyFill="1" applyBorder="1" applyAlignment="1" applyProtection="1">
      <alignment vertical="center"/>
      <protection hidden="1"/>
    </xf>
    <xf numFmtId="2" fontId="8" fillId="6" borderId="19" xfId="0" applyNumberFormat="1" applyFont="1" applyFill="1" applyBorder="1" applyAlignment="1" applyProtection="1">
      <alignment vertical="center"/>
      <protection hidden="1"/>
    </xf>
    <xf numFmtId="2" fontId="14" fillId="6" borderId="21" xfId="0" applyNumberFormat="1" applyFont="1" applyFill="1" applyBorder="1" applyAlignment="1" applyProtection="1">
      <alignment vertical="center"/>
      <protection hidden="1"/>
    </xf>
    <xf numFmtId="2" fontId="14" fillId="6" borderId="40" xfId="0" applyNumberFormat="1" applyFont="1" applyFill="1" applyBorder="1" applyAlignment="1" applyProtection="1">
      <alignment vertical="center"/>
      <protection hidden="1"/>
    </xf>
    <xf numFmtId="2" fontId="14" fillId="6" borderId="6" xfId="0" applyNumberFormat="1" applyFont="1" applyFill="1" applyBorder="1" applyAlignment="1" applyProtection="1">
      <alignment vertical="center"/>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9" fontId="8" fillId="0" borderId="0" xfId="1" applyFont="1" applyAlignment="1" applyProtection="1">
      <alignment horizont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0" fontId="8" fillId="9" borderId="50"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2"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67" fontId="9" fillId="9" borderId="9" xfId="0" applyNumberFormat="1" applyFont="1" applyFill="1" applyBorder="1" applyAlignment="1" applyProtection="1">
      <alignment horizontal="center" vertical="center"/>
      <protection hidden="1"/>
    </xf>
    <xf numFmtId="167" fontId="9" fillId="9" borderId="10" xfId="0" applyNumberFormat="1" applyFont="1" applyFill="1" applyBorder="1" applyAlignment="1" applyProtection="1">
      <alignment horizontal="center" vertical="center"/>
      <protection hidden="1"/>
    </xf>
    <xf numFmtId="165" fontId="9" fillId="9" borderId="11" xfId="0" applyNumberFormat="1" applyFont="1" applyFill="1" applyBorder="1" applyAlignment="1" applyProtection="1">
      <alignment horizontal="center" vertical="center"/>
      <protection hidden="1"/>
    </xf>
    <xf numFmtId="171" fontId="55" fillId="3" borderId="48" xfId="0" applyNumberFormat="1" applyFont="1" applyFill="1" applyBorder="1" applyAlignment="1" applyProtection="1">
      <alignment horizontal="center" vertical="center"/>
      <protection hidden="1"/>
    </xf>
    <xf numFmtId="171" fontId="55" fillId="3" borderId="49" xfId="0" applyNumberFormat="1" applyFont="1" applyFill="1" applyBorder="1" applyAlignment="1" applyProtection="1">
      <alignment horizontal="center" vertical="center"/>
      <protection hidden="1"/>
    </xf>
    <xf numFmtId="171" fontId="55" fillId="3" borderId="50" xfId="0" applyNumberFormat="1" applyFont="1" applyFill="1" applyBorder="1" applyAlignment="1" applyProtection="1">
      <alignment horizontal="center" vertical="center"/>
      <protection hidden="1"/>
    </xf>
    <xf numFmtId="166" fontId="8" fillId="9" borderId="57"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7"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164" fontId="8" fillId="9" borderId="70"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9" borderId="71" xfId="0" applyNumberFormat="1" applyFont="1" applyFill="1" applyBorder="1" applyAlignment="1" applyProtection="1">
      <alignment horizontal="center" vertical="center"/>
      <protection hidden="1"/>
    </xf>
    <xf numFmtId="2" fontId="8" fillId="6" borderId="33" xfId="0" applyNumberFormat="1" applyFont="1" applyFill="1" applyBorder="1" applyAlignment="1" applyProtection="1">
      <alignment horizontal="center" vertical="center"/>
      <protection hidden="1"/>
    </xf>
    <xf numFmtId="2" fontId="8" fillId="6" borderId="54"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protection hidden="1"/>
    </xf>
    <xf numFmtId="0" fontId="7" fillId="0" borderId="0" xfId="0" applyFont="1"/>
    <xf numFmtId="0" fontId="40" fillId="0" borderId="40" xfId="0" applyFont="1" applyFill="1" applyBorder="1" applyAlignment="1">
      <alignment horizontal="center" vertical="center"/>
    </xf>
    <xf numFmtId="0" fontId="47" fillId="0" borderId="0" xfId="0" applyFont="1" applyFill="1"/>
    <xf numFmtId="0" fontId="7" fillId="0" borderId="0" xfId="0" applyFont="1" applyAlignment="1">
      <alignment vertical="center"/>
    </xf>
    <xf numFmtId="22" fontId="7" fillId="0" borderId="0" xfId="0" applyNumberFormat="1" applyFont="1" applyAlignment="1">
      <alignment vertical="center" wrapText="1"/>
    </xf>
    <xf numFmtId="0" fontId="7" fillId="0" borderId="0" xfId="0" applyFont="1" applyAlignment="1">
      <alignment horizontal="center" vertical="center" wrapText="1"/>
    </xf>
    <xf numFmtId="171" fontId="45" fillId="25" borderId="8" xfId="0" applyNumberFormat="1" applyFont="1" applyFill="1" applyBorder="1" applyAlignment="1">
      <alignment horizontal="center" vertical="center" wrapText="1"/>
    </xf>
    <xf numFmtId="171" fontId="45" fillId="25" borderId="12" xfId="0" applyNumberFormat="1" applyFont="1" applyFill="1" applyBorder="1" applyAlignment="1">
      <alignment horizontal="center" vertical="center" wrapText="1"/>
    </xf>
    <xf numFmtId="2" fontId="7"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4" borderId="35" xfId="0" applyNumberFormat="1" applyFill="1" applyBorder="1" applyAlignment="1">
      <alignment horizontal="center"/>
    </xf>
    <xf numFmtId="0" fontId="31" fillId="0" borderId="0" xfId="0" applyFont="1" applyAlignment="1" applyProtection="1">
      <alignment horizontal="center" vertical="center"/>
      <protection hidden="1"/>
    </xf>
    <xf numFmtId="0" fontId="31" fillId="0" borderId="0" xfId="0" applyFont="1" applyFill="1" applyProtection="1">
      <protection hidden="1"/>
    </xf>
    <xf numFmtId="0" fontId="31"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9" xfId="1" applyFont="1" applyFill="1" applyBorder="1" applyAlignment="1" applyProtection="1">
      <alignment horizontal="center" vertical="center"/>
      <protection hidden="1"/>
    </xf>
    <xf numFmtId="9" fontId="8" fillId="9" borderId="42"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9" fontId="8" fillId="9" borderId="35" xfId="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164"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171" fontId="9" fillId="9" borderId="7" xfId="0" applyNumberFormat="1" applyFont="1" applyFill="1" applyBorder="1" applyAlignment="1" applyProtection="1">
      <alignment horizontal="center" vertical="center" wrapText="1"/>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8" fillId="6" borderId="35" xfId="0" applyNumberFormat="1" applyFont="1" applyFill="1" applyBorder="1" applyAlignment="1" applyProtection="1">
      <alignment horizontal="center" vertical="center"/>
      <protection hidden="1"/>
    </xf>
    <xf numFmtId="171" fontId="18" fillId="6" borderId="16" xfId="0" applyNumberFormat="1" applyFont="1" applyFill="1" applyBorder="1" applyAlignment="1" applyProtection="1">
      <alignment horizontal="center" vertical="center"/>
      <protection hidden="1"/>
    </xf>
    <xf numFmtId="2" fontId="18" fillId="6" borderId="51" xfId="0" applyNumberFormat="1" applyFont="1" applyFill="1" applyBorder="1" applyAlignment="1" applyProtection="1">
      <alignment horizontal="center" vertical="center"/>
      <protection hidden="1"/>
    </xf>
    <xf numFmtId="2" fontId="18" fillId="6" borderId="54" xfId="0" applyNumberFormat="1" applyFont="1" applyFill="1" applyBorder="1" applyAlignment="1" applyProtection="1">
      <alignment horizontal="center" vertical="center" wrapText="1"/>
      <protection hidden="1"/>
    </xf>
    <xf numFmtId="2" fontId="18"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30"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7" xfId="1" applyNumberFormat="1" applyFont="1" applyFill="1" applyBorder="1" applyAlignment="1" applyProtection="1">
      <alignment horizontal="center" vertical="center" wrapText="1"/>
      <protection hidden="1"/>
    </xf>
    <xf numFmtId="170" fontId="8" fillId="9" borderId="71"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7"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8" fillId="6"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7"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24" borderId="69" xfId="0" applyFont="1" applyFill="1" applyBorder="1" applyAlignment="1">
      <alignment horizontal="center" vertical="center" wrapText="1"/>
    </xf>
    <xf numFmtId="0" fontId="45" fillId="24"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7" fillId="0" borderId="40" xfId="0" applyFont="1" applyFill="1" applyBorder="1" applyAlignment="1">
      <alignment horizontal="center" vertical="center"/>
    </xf>
    <xf numFmtId="2" fontId="15"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5" fillId="0" borderId="0" xfId="0" applyNumberFormat="1" applyFont="1" applyBorder="1" applyProtection="1">
      <protection hidden="1"/>
    </xf>
    <xf numFmtId="0" fontId="15" fillId="0" borderId="0" xfId="0" applyFont="1" applyBorder="1" applyProtection="1">
      <protection hidden="1"/>
    </xf>
    <xf numFmtId="2" fontId="15" fillId="0" borderId="0" xfId="0" applyNumberFormat="1" applyFont="1" applyBorder="1" applyAlignment="1" applyProtection="1">
      <alignment vertical="center"/>
      <protection hidden="1"/>
    </xf>
    <xf numFmtId="2" fontId="59" fillId="2" borderId="0" xfId="0" applyNumberFormat="1" applyFont="1" applyFill="1" applyBorder="1" applyAlignment="1" applyProtection="1">
      <alignment horizontal="center" vertical="center"/>
      <protection hidden="1"/>
    </xf>
    <xf numFmtId="1" fontId="59" fillId="2" borderId="0" xfId="0" applyNumberFormat="1" applyFont="1" applyFill="1" applyBorder="1" applyAlignment="1" applyProtection="1">
      <alignment horizontal="center" vertical="center"/>
      <protection hidden="1"/>
    </xf>
    <xf numFmtId="1" fontId="60" fillId="19" borderId="0" xfId="0" applyNumberFormat="1" applyFont="1" applyFill="1" applyBorder="1" applyAlignment="1" applyProtection="1">
      <alignment horizontal="center" vertical="center"/>
      <protection hidden="1"/>
    </xf>
    <xf numFmtId="2" fontId="60" fillId="19" borderId="0" xfId="0" applyNumberFormat="1" applyFont="1" applyFill="1" applyBorder="1" applyAlignment="1" applyProtection="1">
      <alignment horizontal="center" vertical="center"/>
      <protection hidden="1"/>
    </xf>
    <xf numFmtId="2" fontId="60" fillId="2" borderId="0" xfId="0" applyNumberFormat="1" applyFont="1" applyFill="1" applyBorder="1" applyAlignment="1" applyProtection="1">
      <alignment horizontal="center" vertical="center"/>
      <protection hidden="1"/>
    </xf>
    <xf numFmtId="171" fontId="59" fillId="2" borderId="0" xfId="0" applyNumberFormat="1" applyFont="1" applyFill="1" applyBorder="1" applyAlignment="1" applyProtection="1">
      <alignment horizontal="center" vertical="center"/>
      <protection hidden="1"/>
    </xf>
    <xf numFmtId="169" fontId="59" fillId="2" borderId="0" xfId="0" applyNumberFormat="1" applyFont="1" applyFill="1" applyBorder="1" applyAlignment="1" applyProtection="1">
      <alignment horizontal="center" vertical="center"/>
      <protection hidden="1"/>
    </xf>
    <xf numFmtId="1" fontId="62" fillId="19" borderId="0" xfId="0" applyNumberFormat="1" applyFont="1" applyFill="1" applyBorder="1" applyAlignment="1" applyProtection="1">
      <alignment horizontal="center" vertical="center"/>
      <protection hidden="1"/>
    </xf>
    <xf numFmtId="2" fontId="60" fillId="0" borderId="0" xfId="0" applyNumberFormat="1" applyFont="1" applyBorder="1" applyAlignment="1" applyProtection="1">
      <alignment vertical="center"/>
      <protection hidden="1"/>
    </xf>
    <xf numFmtId="2" fontId="59" fillId="0" borderId="0" xfId="0" applyNumberFormat="1" applyFont="1" applyBorder="1" applyAlignment="1" applyProtection="1">
      <alignment horizontal="center" vertical="center"/>
      <protection hidden="1"/>
    </xf>
    <xf numFmtId="164" fontId="9" fillId="9" borderId="8" xfId="0" applyNumberFormat="1" applyFont="1" applyFill="1" applyBorder="1" applyAlignment="1" applyProtection="1">
      <alignment horizontal="center" vertical="center"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6" fillId="0" borderId="24" xfId="0" applyFont="1" applyBorder="1"/>
    <xf numFmtId="0" fontId="6" fillId="0" borderId="38" xfId="0" applyFont="1" applyBorder="1"/>
    <xf numFmtId="170" fontId="6" fillId="0" borderId="9" xfId="0" applyNumberFormat="1" applyFont="1" applyBorder="1" applyAlignment="1">
      <alignment horizontal="center" vertical="center"/>
    </xf>
    <xf numFmtId="170" fontId="6" fillId="24" borderId="11" xfId="0" applyNumberFormat="1" applyFont="1" applyFill="1" applyBorder="1" applyAlignment="1">
      <alignment horizontal="center" vertical="center"/>
    </xf>
    <xf numFmtId="2" fontId="5" fillId="24" borderId="10" xfId="0" applyNumberFormat="1" applyFont="1" applyFill="1" applyBorder="1" applyAlignment="1" applyProtection="1">
      <alignment horizontal="center" vertical="center" wrapText="1"/>
      <protection hidden="1"/>
    </xf>
    <xf numFmtId="2" fontId="5" fillId="24"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1" fontId="6" fillId="2" borderId="44"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95" fontId="6" fillId="2" borderId="8" xfId="0" applyNumberFormat="1" applyFont="1" applyFill="1" applyBorder="1" applyAlignment="1" applyProtection="1">
      <alignment horizontal="center" vertical="center" wrapText="1"/>
      <protection hidden="1"/>
    </xf>
    <xf numFmtId="1" fontId="6" fillId="2" borderId="12"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0" fontId="29" fillId="15" borderId="1" xfId="0" applyFont="1" applyFill="1" applyBorder="1" applyAlignment="1" applyProtection="1">
      <alignment horizontal="center" vertical="center"/>
      <protection locked="0" hidden="1"/>
    </xf>
    <xf numFmtId="0" fontId="29" fillId="15" borderId="1" xfId="0" applyFont="1" applyFill="1" applyBorder="1" applyAlignment="1" applyProtection="1">
      <alignment horizontal="center" vertical="center" wrapText="1"/>
      <protection locked="0" hidden="1"/>
    </xf>
    <xf numFmtId="0" fontId="17" fillId="0" borderId="41" xfId="0" applyFont="1" applyBorder="1" applyAlignment="1">
      <alignment horizontal="center" vertical="center"/>
    </xf>
    <xf numFmtId="171" fontId="17" fillId="0" borderId="2" xfId="0" applyNumberFormat="1" applyFont="1" applyBorder="1" applyAlignment="1">
      <alignment horizontal="center" vertical="center"/>
    </xf>
    <xf numFmtId="181" fontId="17" fillId="0" borderId="41" xfId="0" applyNumberFormat="1" applyFont="1" applyBorder="1" applyAlignment="1">
      <alignment horizontal="center" vertical="center"/>
    </xf>
    <xf numFmtId="0" fontId="17" fillId="0" borderId="2" xfId="0" applyFont="1" applyBorder="1" applyAlignment="1">
      <alignment horizontal="center" vertical="center"/>
    </xf>
    <xf numFmtId="181" fontId="17" fillId="0" borderId="7" xfId="0" applyNumberFormat="1" applyFont="1" applyBorder="1" applyAlignment="1">
      <alignment horizontal="center" vertical="center"/>
    </xf>
    <xf numFmtId="0" fontId="17" fillId="0" borderId="37" xfId="0" applyFont="1" applyBorder="1" applyAlignment="1">
      <alignment horizontal="center" vertical="center"/>
    </xf>
    <xf numFmtId="181" fontId="63" fillId="0" borderId="9" xfId="0" applyNumberFormat="1" applyFont="1" applyBorder="1" applyAlignment="1">
      <alignment horizontal="center" vertical="center"/>
    </xf>
    <xf numFmtId="0" fontId="63" fillId="0" borderId="47" xfId="0" applyFont="1" applyBorder="1" applyAlignment="1">
      <alignment horizontal="center" vertical="center"/>
    </xf>
    <xf numFmtId="170" fontId="63" fillId="0" borderId="35" xfId="0" applyNumberFormat="1" applyFont="1" applyBorder="1" applyAlignment="1">
      <alignment horizontal="center" vertical="center"/>
    </xf>
    <xf numFmtId="165" fontId="30" fillId="19" borderId="1" xfId="0" applyNumberFormat="1" applyFont="1" applyFill="1" applyBorder="1" applyAlignment="1" applyProtection="1">
      <alignment horizontal="center" vertical="center"/>
      <protection hidden="1"/>
    </xf>
    <xf numFmtId="180" fontId="30" fillId="19" borderId="1" xfId="0" applyNumberFormat="1" applyFont="1" applyFill="1" applyBorder="1" applyAlignment="1" applyProtection="1">
      <alignment horizontal="center" vertical="center"/>
      <protection hidden="1"/>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25" xfId="0" applyNumberFormat="1" applyFont="1" applyFill="1" applyBorder="1" applyAlignment="1" applyProtection="1">
      <alignment horizontal="center" vertical="center"/>
      <protection hidden="1"/>
    </xf>
    <xf numFmtId="2" fontId="14" fillId="9" borderId="47"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171" fontId="9" fillId="9" borderId="4" xfId="0" applyNumberFormat="1" applyFont="1" applyFill="1" applyBorder="1" applyAlignment="1" applyProtection="1">
      <alignment horizontal="center" vertical="center" wrapText="1"/>
      <protection hidden="1"/>
    </xf>
    <xf numFmtId="171" fontId="9" fillId="9" borderId="41" xfId="0" applyNumberFormat="1" applyFont="1" applyFill="1" applyBorder="1" applyAlignment="1" applyProtection="1">
      <alignment horizontal="center" vertical="center" wrapText="1"/>
      <protection hidden="1"/>
    </xf>
    <xf numFmtId="11" fontId="66" fillId="0" borderId="0" xfId="0" applyNumberFormat="1" applyFont="1"/>
    <xf numFmtId="0" fontId="66" fillId="0" borderId="0" xfId="0" applyFont="1"/>
    <xf numFmtId="2" fontId="17" fillId="6" borderId="47" xfId="2" applyNumberFormat="1" applyFont="1" applyFill="1" applyBorder="1" applyAlignment="1" applyProtection="1">
      <alignment horizontal="center" vertical="center" wrapText="1"/>
      <protection hidden="1"/>
    </xf>
    <xf numFmtId="181" fontId="14" fillId="13" borderId="33" xfId="3" applyNumberFormat="1" applyFont="1" applyBorder="1" applyAlignment="1" applyProtection="1">
      <alignment horizontal="center" vertical="center"/>
      <protection locked="0" hidden="1"/>
    </xf>
    <xf numFmtId="181" fontId="14" fillId="13" borderId="22" xfId="3" applyNumberFormat="1" applyFont="1" applyBorder="1" applyAlignment="1" applyProtection="1">
      <alignment horizontal="center" vertical="center"/>
      <protection locked="0" hidden="1"/>
    </xf>
    <xf numFmtId="0" fontId="29" fillId="0" borderId="5"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81" fontId="8" fillId="26" borderId="41" xfId="3" applyNumberFormat="1" applyFont="1" applyFill="1" applyBorder="1" applyAlignment="1" applyProtection="1">
      <alignment horizontal="center" vertical="center"/>
      <protection locked="0" hidden="1"/>
    </xf>
    <xf numFmtId="181" fontId="8" fillId="26" borderId="7" xfId="3" applyNumberFormat="1" applyFont="1" applyFill="1" applyBorder="1" applyAlignment="1" applyProtection="1">
      <alignment horizontal="center" vertical="center"/>
      <protection locked="0" hidden="1"/>
    </xf>
    <xf numFmtId="164" fontId="30" fillId="19" borderId="5" xfId="0" applyNumberFormat="1" applyFont="1" applyFill="1" applyBorder="1" applyAlignment="1" applyProtection="1">
      <alignment horizontal="center" vertical="center"/>
      <protection hidden="1"/>
    </xf>
    <xf numFmtId="1" fontId="30" fillId="19" borderId="8" xfId="0" applyNumberFormat="1" applyFont="1" applyFill="1" applyBorder="1" applyAlignment="1" applyProtection="1">
      <alignment horizontal="center" vertical="center"/>
      <protection hidden="1"/>
    </xf>
    <xf numFmtId="1" fontId="30" fillId="15" borderId="8" xfId="0" applyNumberFormat="1" applyFont="1" applyFill="1" applyBorder="1" applyAlignment="1" applyProtection="1">
      <alignment horizontal="center" vertical="center"/>
      <protection hidden="1"/>
    </xf>
    <xf numFmtId="0" fontId="30" fillId="27" borderId="4" xfId="0" applyFont="1" applyFill="1" applyBorder="1" applyAlignment="1" applyProtection="1">
      <alignment horizontal="center" vertical="center" wrapText="1"/>
      <protection hidden="1"/>
    </xf>
    <xf numFmtId="0" fontId="30" fillId="27" borderId="5" xfId="0" applyFont="1" applyFill="1" applyBorder="1" applyAlignment="1" applyProtection="1">
      <alignment horizontal="center" vertical="center"/>
      <protection hidden="1"/>
    </xf>
    <xf numFmtId="168" fontId="30" fillId="27" borderId="5" xfId="0" applyNumberFormat="1" applyFont="1" applyFill="1" applyBorder="1" applyAlignment="1" applyProtection="1">
      <alignment horizontal="center" vertical="center"/>
      <protection hidden="1"/>
    </xf>
    <xf numFmtId="181" fontId="30" fillId="27" borderId="5" xfId="0" applyNumberFormat="1" applyFont="1" applyFill="1" applyBorder="1" applyAlignment="1" applyProtection="1">
      <alignment horizontal="center" vertical="center"/>
      <protection hidden="1"/>
    </xf>
    <xf numFmtId="164" fontId="30" fillId="27" borderId="5" xfId="0" applyNumberFormat="1" applyFont="1" applyFill="1" applyBorder="1" applyAlignment="1" applyProtection="1">
      <alignment horizontal="center" vertical="center"/>
      <protection hidden="1"/>
    </xf>
    <xf numFmtId="169" fontId="30" fillId="27" borderId="5" xfId="0" applyNumberFormat="1" applyFont="1" applyFill="1" applyBorder="1" applyAlignment="1" applyProtection="1">
      <alignment horizontal="center" vertical="center"/>
      <protection hidden="1"/>
    </xf>
    <xf numFmtId="0" fontId="30" fillId="27" borderId="7" xfId="0" applyFont="1" applyFill="1" applyBorder="1" applyAlignment="1" applyProtection="1">
      <alignment horizontal="center" vertical="center" wrapText="1"/>
      <protection hidden="1"/>
    </xf>
    <xf numFmtId="0" fontId="30" fillId="27" borderId="8" xfId="0" applyFont="1" applyFill="1" applyBorder="1" applyAlignment="1" applyProtection="1">
      <alignment horizontal="center" vertical="center"/>
      <protection hidden="1"/>
    </xf>
    <xf numFmtId="168" fontId="30" fillId="27" borderId="8" xfId="0" applyNumberFormat="1" applyFont="1" applyFill="1" applyBorder="1" applyAlignment="1" applyProtection="1">
      <alignment horizontal="center" vertical="center"/>
      <protection hidden="1"/>
    </xf>
    <xf numFmtId="181" fontId="30" fillId="27" borderId="8" xfId="0" applyNumberFormat="1" applyFont="1" applyFill="1" applyBorder="1" applyAlignment="1" applyProtection="1">
      <alignment horizontal="center" vertical="center"/>
      <protection hidden="1"/>
    </xf>
    <xf numFmtId="164" fontId="30" fillId="27" borderId="8" xfId="0" applyNumberFormat="1" applyFont="1" applyFill="1" applyBorder="1" applyAlignment="1" applyProtection="1">
      <alignment horizontal="center" vertical="center"/>
      <protection hidden="1"/>
    </xf>
    <xf numFmtId="169" fontId="30" fillId="27" borderId="8" xfId="0" applyNumberFormat="1" applyFont="1" applyFill="1" applyBorder="1" applyAlignment="1" applyProtection="1">
      <alignment horizontal="center" vertical="center"/>
      <protection hidden="1"/>
    </xf>
    <xf numFmtId="0" fontId="30" fillId="15" borderId="39" xfId="0" applyFont="1" applyFill="1" applyBorder="1" applyAlignment="1" applyProtection="1">
      <alignment horizontal="center" vertical="center"/>
      <protection hidden="1"/>
    </xf>
    <xf numFmtId="0" fontId="30" fillId="15" borderId="42" xfId="0" applyFont="1" applyFill="1" applyBorder="1" applyAlignment="1" applyProtection="1">
      <alignment horizontal="center" vertical="center"/>
      <protection hidden="1"/>
    </xf>
    <xf numFmtId="0" fontId="30" fillId="15" borderId="12" xfId="0" applyFont="1" applyFill="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66" xfId="0" applyFont="1" applyBorder="1" applyAlignment="1" applyProtection="1">
      <alignment horizontal="center" vertical="center"/>
      <protection hidden="1"/>
    </xf>
    <xf numFmtId="0" fontId="31" fillId="0" borderId="77" xfId="0" applyFont="1" applyBorder="1" applyAlignment="1" applyProtection="1">
      <alignment horizontal="center" vertical="center"/>
      <protection hidden="1"/>
    </xf>
    <xf numFmtId="0" fontId="31" fillId="27" borderId="68" xfId="0" applyFont="1" applyFill="1" applyBorder="1" applyAlignment="1" applyProtection="1">
      <alignment horizontal="center" vertical="center"/>
      <protection hidden="1"/>
    </xf>
    <xf numFmtId="0" fontId="31" fillId="27" borderId="67" xfId="0" applyFont="1" applyFill="1" applyBorder="1" applyAlignment="1" applyProtection="1">
      <alignment horizontal="center" vertical="center"/>
      <protection hidden="1"/>
    </xf>
    <xf numFmtId="166" fontId="30" fillId="19" borderId="1" xfId="0" applyNumberFormat="1" applyFont="1" applyFill="1" applyBorder="1" applyAlignment="1" applyProtection="1">
      <alignment horizontal="center" vertical="center"/>
      <protection hidden="1"/>
    </xf>
    <xf numFmtId="11" fontId="30" fillId="0" borderId="1" xfId="0" applyNumberFormat="1" applyFont="1" applyFill="1" applyBorder="1" applyAlignment="1" applyProtection="1">
      <alignment horizontal="center" vertical="center"/>
      <protection hidden="1"/>
    </xf>
    <xf numFmtId="0" fontId="30" fillId="0" borderId="4" xfId="0" applyFont="1" applyBorder="1" applyAlignment="1" applyProtection="1">
      <protection hidden="1"/>
    </xf>
    <xf numFmtId="0" fontId="30" fillId="0" borderId="5" xfId="0" applyFont="1" applyBorder="1" applyAlignment="1" applyProtection="1">
      <protection hidden="1"/>
    </xf>
    <xf numFmtId="0" fontId="30" fillId="0" borderId="5" xfId="0" applyFont="1" applyBorder="1" applyProtection="1">
      <protection hidden="1"/>
    </xf>
    <xf numFmtId="0" fontId="30" fillId="0" borderId="5"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7" xfId="0" applyFont="1" applyFill="1" applyBorder="1" applyAlignment="1" applyProtection="1">
      <alignment horizontal="center" vertical="center"/>
      <protection hidden="1"/>
    </xf>
    <xf numFmtId="0" fontId="30" fillId="0" borderId="8" xfId="0" applyFont="1" applyFill="1" applyBorder="1" applyAlignment="1" applyProtection="1">
      <alignment horizontal="center" vertical="center"/>
      <protection hidden="1"/>
    </xf>
    <xf numFmtId="181" fontId="30" fillId="0" borderId="8" xfId="0" applyNumberFormat="1" applyFont="1" applyFill="1" applyBorder="1" applyAlignment="1" applyProtection="1">
      <alignment horizontal="center" vertical="center"/>
      <protection hidden="1"/>
    </xf>
    <xf numFmtId="0" fontId="30" fillId="0" borderId="8" xfId="0" applyFont="1" applyFill="1" applyBorder="1" applyAlignment="1" applyProtection="1">
      <alignment horizontal="center"/>
      <protection hidden="1"/>
    </xf>
    <xf numFmtId="166" fontId="30" fillId="0" borderId="8" xfId="0" applyNumberFormat="1" applyFont="1" applyFill="1" applyBorder="1" applyAlignment="1" applyProtection="1">
      <alignment horizontal="center" vertical="center"/>
      <protection hidden="1"/>
    </xf>
    <xf numFmtId="169" fontId="30" fillId="0" borderId="8" xfId="0" applyNumberFormat="1" applyFont="1" applyFill="1" applyBorder="1" applyAlignment="1" applyProtection="1">
      <alignment horizontal="center" vertical="center"/>
      <protection hidden="1"/>
    </xf>
    <xf numFmtId="0" fontId="30" fillId="0" borderId="12" xfId="0" applyFont="1" applyFill="1" applyBorder="1" applyAlignment="1" applyProtection="1">
      <alignment horizontal="center" vertical="center"/>
      <protection hidden="1"/>
    </xf>
    <xf numFmtId="166" fontId="30" fillId="19" borderId="8" xfId="0" applyNumberFormat="1" applyFont="1" applyFill="1" applyBorder="1" applyAlignment="1" applyProtection="1">
      <alignment horizontal="center" vertical="center"/>
      <protection hidden="1"/>
    </xf>
    <xf numFmtId="0" fontId="30" fillId="27" borderId="12" xfId="0" applyFont="1" applyFill="1" applyBorder="1" applyAlignment="1" applyProtection="1">
      <alignment horizontal="center" vertical="center"/>
      <protection hidden="1"/>
    </xf>
    <xf numFmtId="0" fontId="30" fillId="27" borderId="39" xfId="0" applyFont="1" applyFill="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197" fontId="8" fillId="9" borderId="8" xfId="0"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 fontId="14" fillId="9" borderId="8" xfId="0" applyNumberFormat="1" applyFont="1" applyFill="1" applyBorder="1" applyAlignment="1" applyProtection="1">
      <alignment horizontal="center" vertical="center"/>
      <protection hidden="1"/>
    </xf>
    <xf numFmtId="1" fontId="14" fillId="9" borderId="12"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1" fontId="14" fillId="9" borderId="13" xfId="0" applyNumberFormat="1" applyFont="1" applyFill="1" applyBorder="1" applyAlignment="1" applyProtection="1">
      <alignment horizontal="center" vertical="center"/>
      <protection hidden="1"/>
    </xf>
    <xf numFmtId="2" fontId="8" fillId="6" borderId="7" xfId="0" applyNumberFormat="1" applyFont="1" applyFill="1" applyBorder="1" applyAlignment="1" applyProtection="1">
      <alignment horizontal="center" vertical="center"/>
      <protection hidden="1"/>
    </xf>
    <xf numFmtId="2" fontId="14" fillId="6" borderId="12" xfId="0" applyNumberFormat="1" applyFont="1" applyFill="1" applyBorder="1" applyAlignment="1" applyProtection="1">
      <alignment horizontal="left" vertical="center" wrapText="1"/>
      <protection hidden="1"/>
    </xf>
    <xf numFmtId="1" fontId="8" fillId="9" borderId="28" xfId="0" applyNumberFormat="1" applyFont="1" applyFill="1" applyBorder="1" applyAlignment="1" applyProtection="1">
      <alignment horizontal="center" vertical="center"/>
      <protection hidden="1"/>
    </xf>
    <xf numFmtId="2" fontId="14" fillId="9" borderId="73" xfId="0" applyNumberFormat="1" applyFont="1" applyFill="1" applyBorder="1" applyAlignment="1" applyProtection="1">
      <alignment horizontal="center" vertical="center"/>
      <protection hidden="1"/>
    </xf>
    <xf numFmtId="2" fontId="8" fillId="0" borderId="7" xfId="0" applyNumberFormat="1" applyFont="1" applyBorder="1" applyProtection="1">
      <protection hidden="1"/>
    </xf>
    <xf numFmtId="170" fontId="14" fillId="6" borderId="33" xfId="0" applyNumberFormat="1" applyFont="1" applyFill="1" applyBorder="1" applyAlignment="1" applyProtection="1">
      <alignment horizontal="center" vertical="center"/>
      <protection hidden="1"/>
    </xf>
    <xf numFmtId="0" fontId="1" fillId="0" borderId="0" xfId="0" applyFont="1" applyProtection="1">
      <protection hidden="1"/>
    </xf>
    <xf numFmtId="0" fontId="1" fillId="0" borderId="0" xfId="0" applyFont="1" applyBorder="1" applyAlignment="1" applyProtection="1">
      <alignment horizontal="center"/>
      <protection hidden="1"/>
    </xf>
    <xf numFmtId="2" fontId="45" fillId="0" borderId="0" xfId="0" applyNumberFormat="1"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2" borderId="0" xfId="0" applyFont="1" applyFill="1" applyBorder="1" applyAlignment="1" applyProtection="1">
      <alignment horizontal="justify" vertical="center" wrapText="1"/>
      <protection hidden="1"/>
    </xf>
    <xf numFmtId="0" fontId="1" fillId="2" borderId="0" xfId="0" applyFont="1" applyFill="1" applyBorder="1" applyAlignment="1" applyProtection="1">
      <alignment horizontal="left" vertical="center" wrapText="1"/>
      <protection hidden="1"/>
    </xf>
    <xf numFmtId="14" fontId="1" fillId="2" borderId="0" xfId="0" applyNumberFormat="1" applyFont="1" applyFill="1" applyBorder="1" applyAlignment="1" applyProtection="1">
      <alignment horizontal="left" vertical="center" wrapText="1"/>
      <protection hidden="1"/>
    </xf>
    <xf numFmtId="0" fontId="6" fillId="2" borderId="0" xfId="0" applyFont="1" applyFill="1" applyBorder="1" applyAlignment="1" applyProtection="1">
      <alignment vertical="justify" wrapText="1" readingOrder="1"/>
      <protection hidden="1"/>
    </xf>
    <xf numFmtId="168" fontId="1" fillId="2" borderId="0" xfId="0" applyNumberFormat="1"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90" fontId="1" fillId="2" borderId="0" xfId="0" applyNumberFormat="1" applyFont="1" applyFill="1" applyBorder="1" applyAlignment="1" applyProtection="1">
      <alignment horizontal="left" vertical="center" wrapText="1"/>
      <protection hidden="1"/>
    </xf>
    <xf numFmtId="189" fontId="1" fillId="2" borderId="0" xfId="0" applyNumberFormat="1" applyFont="1" applyFill="1" applyBorder="1" applyAlignment="1" applyProtection="1">
      <alignment horizontal="left" vertical="center" wrapText="1"/>
      <protection hidden="1"/>
    </xf>
    <xf numFmtId="174" fontId="1"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188" fontId="1" fillId="2" borderId="0" xfId="0" applyNumberFormat="1" applyFont="1" applyFill="1" applyBorder="1" applyAlignment="1" applyProtection="1">
      <alignment horizontal="left" vertical="center" wrapText="1"/>
      <protection hidden="1"/>
    </xf>
    <xf numFmtId="0" fontId="45" fillId="2" borderId="0" xfId="0" applyFont="1" applyFill="1" applyBorder="1" applyAlignment="1" applyProtection="1">
      <alignment horizontal="left" vertical="center" wrapText="1"/>
      <protection hidden="1"/>
    </xf>
    <xf numFmtId="14" fontId="1" fillId="0" borderId="0" xfId="0" applyNumberFormat="1" applyFont="1" applyAlignment="1" applyProtection="1">
      <alignment horizontal="center" vertical="center" wrapText="1"/>
      <protection hidden="1"/>
    </xf>
    <xf numFmtId="0" fontId="45" fillId="0" borderId="0"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1" fillId="0" borderId="0" xfId="0" applyFont="1" applyBorder="1" applyAlignment="1" applyProtection="1">
      <alignment vertical="center" wrapText="1"/>
      <protection locked="0" hidden="1"/>
    </xf>
    <xf numFmtId="0" fontId="1" fillId="0" borderId="0" xfId="0" applyFont="1" applyFill="1" applyAlignment="1" applyProtection="1">
      <alignment horizontal="center" vertical="center" wrapText="1"/>
      <protection hidden="1"/>
    </xf>
    <xf numFmtId="0" fontId="1" fillId="2" borderId="0" xfId="0" applyFont="1" applyFill="1" applyProtection="1">
      <protection hidden="1"/>
    </xf>
    <xf numFmtId="2" fontId="45" fillId="2" borderId="35" xfId="0" applyNumberFormat="1" applyFont="1" applyFill="1" applyBorder="1" applyAlignment="1" applyProtection="1">
      <alignment horizontal="center" vertical="center" wrapText="1"/>
      <protection hidden="1"/>
    </xf>
    <xf numFmtId="171" fontId="45" fillId="2" borderId="14" xfId="0" applyNumberFormat="1" applyFont="1" applyFill="1" applyBorder="1" applyAlignment="1" applyProtection="1">
      <alignment horizontal="center" vertical="center" wrapText="1"/>
      <protection hidden="1"/>
    </xf>
    <xf numFmtId="171" fontId="45" fillId="2" borderId="9" xfId="0" applyNumberFormat="1" applyFont="1" applyFill="1" applyBorder="1" applyAlignment="1" applyProtection="1">
      <alignment horizontal="center" vertical="center"/>
      <protection hidden="1"/>
    </xf>
    <xf numFmtId="171" fontId="45" fillId="2" borderId="11" xfId="0" applyNumberFormat="1" applyFont="1" applyFill="1" applyBorder="1" applyAlignment="1" applyProtection="1">
      <alignment horizontal="center" vertical="center" wrapText="1"/>
      <protection hidden="1"/>
    </xf>
    <xf numFmtId="171" fontId="45" fillId="2" borderId="21" xfId="0" applyNumberFormat="1" applyFont="1" applyFill="1" applyBorder="1" applyAlignment="1" applyProtection="1">
      <alignment horizontal="center" vertical="center" wrapText="1"/>
      <protection hidden="1"/>
    </xf>
    <xf numFmtId="171" fontId="45" fillId="2" borderId="35" xfId="0" applyNumberFormat="1" applyFont="1" applyFill="1" applyBorder="1" applyAlignment="1" applyProtection="1">
      <alignment horizontal="center" vertical="center" wrapText="1"/>
      <protection hidden="1"/>
    </xf>
    <xf numFmtId="0" fontId="45" fillId="0" borderId="0" xfId="0" applyFont="1" applyAlignment="1" applyProtection="1">
      <alignment horizontal="left" vertical="center" wrapText="1"/>
      <protection hidden="1"/>
    </xf>
    <xf numFmtId="0" fontId="45" fillId="2"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0" fontId="45" fillId="2" borderId="0" xfId="0" applyFont="1" applyFill="1" applyAlignment="1" applyProtection="1">
      <alignment horizontal="left" vertical="center"/>
      <protection hidden="1"/>
    </xf>
    <xf numFmtId="0" fontId="24" fillId="2" borderId="0" xfId="0" applyFont="1" applyFill="1" applyAlignment="1" applyProtection="1">
      <alignment horizontal="left" vertical="center"/>
      <protection hidden="1"/>
    </xf>
    <xf numFmtId="0" fontId="45" fillId="0" borderId="0" xfId="0" applyFont="1" applyFill="1" applyAlignment="1" applyProtection="1">
      <alignment horizontal="left" vertical="center" wrapText="1"/>
      <protection hidden="1"/>
    </xf>
    <xf numFmtId="187" fontId="14" fillId="0" borderId="16"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2" fontId="45" fillId="0" borderId="23" xfId="0" applyNumberFormat="1" applyFont="1" applyBorder="1" applyAlignment="1" applyProtection="1">
      <alignment horizontal="center" vertical="center" wrapText="1"/>
      <protection hidden="1"/>
    </xf>
    <xf numFmtId="0" fontId="45" fillId="0" borderId="23" xfId="0" applyFont="1" applyBorder="1" applyAlignment="1" applyProtection="1">
      <alignment horizontal="center" vertical="center" wrapText="1"/>
      <protection hidden="1"/>
    </xf>
    <xf numFmtId="186" fontId="1" fillId="0" borderId="5" xfId="0" applyNumberFormat="1" applyFont="1" applyBorder="1" applyAlignment="1" applyProtection="1">
      <alignment horizontal="center" vertical="center" wrapText="1"/>
      <protection hidden="1"/>
    </xf>
    <xf numFmtId="171" fontId="1" fillId="0" borderId="39" xfId="0" applyNumberFormat="1" applyFont="1" applyBorder="1" applyAlignment="1" applyProtection="1">
      <alignment horizontal="center" vertical="center" wrapText="1"/>
      <protection hidden="1"/>
    </xf>
    <xf numFmtId="186" fontId="1" fillId="0" borderId="20" xfId="0" applyNumberFormat="1" applyFont="1" applyBorder="1" applyAlignment="1" applyProtection="1">
      <alignment horizontal="center" vertical="center" wrapText="1"/>
      <protection hidden="1"/>
    </xf>
    <xf numFmtId="171" fontId="1" fillId="0" borderId="42" xfId="0" applyNumberFormat="1" applyFont="1" applyBorder="1" applyAlignment="1" applyProtection="1">
      <alignment horizontal="center" vertical="center" wrapText="1"/>
      <protection hidden="1"/>
    </xf>
    <xf numFmtId="186" fontId="1" fillId="0" borderId="1" xfId="0" applyNumberFormat="1" applyFont="1" applyBorder="1" applyAlignment="1" applyProtection="1">
      <alignment horizontal="center" vertical="center" wrapText="1"/>
      <protection hidden="1"/>
    </xf>
    <xf numFmtId="171" fontId="1" fillId="0" borderId="46" xfId="0" applyNumberFormat="1" applyFont="1" applyBorder="1" applyAlignment="1" applyProtection="1">
      <alignment horizontal="center" vertical="center" wrapText="1"/>
      <protection hidden="1"/>
    </xf>
    <xf numFmtId="171" fontId="1" fillId="0" borderId="0" xfId="0" applyNumberFormat="1" applyFont="1" applyBorder="1" applyAlignment="1" applyProtection="1">
      <alignment horizontal="center" vertical="center" wrapText="1"/>
      <protection hidden="1"/>
    </xf>
    <xf numFmtId="2" fontId="1" fillId="0" borderId="0"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1" fillId="0" borderId="0" xfId="0" applyFont="1" applyAlignment="1" applyProtection="1">
      <alignment horizontal="left" vertical="justify" wrapText="1"/>
      <protection hidden="1"/>
    </xf>
    <xf numFmtId="187" fontId="14" fillId="2" borderId="16" xfId="0" applyNumberFormat="1" applyFont="1" applyFill="1" applyBorder="1" applyAlignment="1" applyProtection="1">
      <alignment horizontal="center" vertical="center" wrapText="1"/>
      <protection hidden="1"/>
    </xf>
    <xf numFmtId="0" fontId="14" fillId="0" borderId="33" xfId="0" applyFont="1" applyBorder="1" applyAlignment="1" applyProtection="1">
      <alignment horizontal="center" vertical="center" wrapText="1"/>
      <protection hidden="1"/>
    </xf>
    <xf numFmtId="186" fontId="8" fillId="0" borderId="5" xfId="0" applyNumberFormat="1" applyFont="1" applyBorder="1" applyAlignment="1" applyProtection="1">
      <alignment horizontal="center" vertical="center" wrapText="1"/>
      <protection hidden="1"/>
    </xf>
    <xf numFmtId="186" fontId="8" fillId="0" borderId="39" xfId="0" applyNumberFormat="1" applyFont="1" applyBorder="1" applyAlignment="1" applyProtection="1">
      <alignment horizontal="center" vertical="center" wrapText="1"/>
      <protection hidden="1"/>
    </xf>
    <xf numFmtId="186" fontId="8" fillId="0" borderId="1" xfId="0" applyNumberFormat="1" applyFont="1" applyBorder="1" applyAlignment="1" applyProtection="1">
      <alignment horizontal="center" vertical="center" wrapText="1"/>
      <protection hidden="1"/>
    </xf>
    <xf numFmtId="186" fontId="8" fillId="0" borderId="42" xfId="0" applyNumberFormat="1" applyFont="1" applyBorder="1" applyAlignment="1" applyProtection="1">
      <alignment horizontal="center" vertical="center" wrapText="1"/>
      <protection hidden="1"/>
    </xf>
    <xf numFmtId="186" fontId="8" fillId="0" borderId="8" xfId="0" applyNumberFormat="1" applyFont="1" applyBorder="1" applyAlignment="1" applyProtection="1">
      <alignment horizontal="center" vertical="center" wrapText="1"/>
      <protection hidden="1"/>
    </xf>
    <xf numFmtId="186" fontId="8" fillId="0" borderId="12" xfId="0" applyNumberFormat="1" applyFont="1" applyBorder="1" applyAlignment="1" applyProtection="1">
      <alignment horizontal="center" vertical="center" wrapText="1"/>
      <protection hidden="1"/>
    </xf>
    <xf numFmtId="0" fontId="1" fillId="0" borderId="0" xfId="0" applyFont="1" applyFill="1" applyProtection="1">
      <protection hidden="1"/>
    </xf>
    <xf numFmtId="2" fontId="14" fillId="2" borderId="35" xfId="0" applyNumberFormat="1" applyFont="1" applyFill="1" applyBorder="1" applyAlignment="1" applyProtection="1">
      <alignment horizontal="center" vertical="center" wrapText="1"/>
      <protection hidden="1"/>
    </xf>
    <xf numFmtId="171" fontId="8" fillId="2" borderId="20" xfId="0" applyNumberFormat="1" applyFont="1" applyFill="1" applyBorder="1" applyAlignment="1" applyProtection="1">
      <alignment horizontal="center" vertical="center"/>
      <protection hidden="1"/>
    </xf>
    <xf numFmtId="164" fontId="8" fillId="2" borderId="44" xfId="0" applyNumberFormat="1" applyFont="1" applyFill="1" applyBorder="1" applyAlignment="1" applyProtection="1">
      <alignment horizontal="center" vertical="center"/>
      <protection hidden="1"/>
    </xf>
    <xf numFmtId="164" fontId="8" fillId="2" borderId="42" xfId="0" applyNumberFormat="1" applyFont="1" applyFill="1" applyBorder="1" applyAlignment="1" applyProtection="1">
      <alignment horizontal="center" vertical="center"/>
      <protection hidden="1"/>
    </xf>
    <xf numFmtId="2" fontId="8" fillId="2" borderId="42" xfId="0" applyNumberFormat="1" applyFont="1" applyFill="1" applyBorder="1" applyAlignment="1" applyProtection="1">
      <alignment horizontal="center" vertical="center"/>
      <protection hidden="1"/>
    </xf>
    <xf numFmtId="2" fontId="8" fillId="2" borderId="12" xfId="0" applyNumberFormat="1" applyFont="1" applyFill="1" applyBorder="1" applyAlignment="1" applyProtection="1">
      <alignment horizontal="center" vertical="center"/>
      <protection hidden="1"/>
    </xf>
    <xf numFmtId="1" fontId="1" fillId="0" borderId="0" xfId="0" applyNumberFormat="1" applyFont="1" applyBorder="1" applyAlignment="1" applyProtection="1">
      <alignment horizontal="center" vertical="center" wrapText="1"/>
      <protection hidden="1"/>
    </xf>
    <xf numFmtId="0" fontId="14" fillId="2" borderId="35" xfId="0" applyFont="1" applyFill="1" applyBorder="1" applyAlignment="1" applyProtection="1">
      <alignment horizontal="center" vertical="center" wrapText="1"/>
      <protection hidden="1"/>
    </xf>
    <xf numFmtId="0" fontId="14" fillId="0" borderId="35" xfId="0" applyFont="1" applyFill="1" applyBorder="1" applyAlignment="1" applyProtection="1">
      <alignment horizontal="center" vertical="center" wrapText="1"/>
      <protection hidden="1"/>
    </xf>
    <xf numFmtId="164" fontId="8" fillId="0" borderId="18" xfId="0"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78" xfId="0" applyFont="1" applyFill="1" applyBorder="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164" fontId="1" fillId="0" borderId="0" xfId="0" applyNumberFormat="1" applyFont="1" applyBorder="1" applyAlignment="1" applyProtection="1">
      <alignment horizontal="center" vertical="center" wrapText="1"/>
      <protection hidden="1"/>
    </xf>
    <xf numFmtId="164" fontId="8" fillId="0" borderId="3" xfId="0" applyNumberFormat="1" applyFont="1" applyFill="1" applyBorder="1" applyAlignment="1" applyProtection="1">
      <alignment horizontal="center" vertical="center" wrapText="1"/>
      <protection hidden="1"/>
    </xf>
    <xf numFmtId="2" fontId="8" fillId="0" borderId="3" xfId="0" applyNumberFormat="1" applyFont="1" applyFill="1" applyBorder="1" applyAlignment="1" applyProtection="1">
      <alignment horizontal="center" vertical="center" wrapText="1"/>
      <protection hidden="1"/>
    </xf>
    <xf numFmtId="2" fontId="8" fillId="0" borderId="13" xfId="0" applyNumberFormat="1" applyFont="1" applyFill="1" applyBorder="1" applyAlignment="1" applyProtection="1">
      <alignment horizontal="center" vertical="center" wrapText="1"/>
      <protection hidden="1"/>
    </xf>
    <xf numFmtId="173" fontId="8" fillId="0" borderId="0" xfId="0" applyNumberFormat="1" applyFont="1" applyAlignment="1" applyProtection="1">
      <alignment horizontal="center" vertical="center"/>
      <protection hidden="1"/>
    </xf>
    <xf numFmtId="169" fontId="1" fillId="0" borderId="0" xfId="0" applyNumberFormat="1" applyFont="1" applyBorder="1" applyAlignment="1" applyProtection="1">
      <alignment horizontal="center" vertical="center" wrapText="1"/>
      <protection hidden="1"/>
    </xf>
    <xf numFmtId="2" fontId="14" fillId="0" borderId="0" xfId="0" applyNumberFormat="1" applyFont="1" applyBorder="1" applyAlignment="1" applyProtection="1">
      <alignment vertical="center" wrapText="1"/>
      <protection hidden="1"/>
    </xf>
    <xf numFmtId="2" fontId="5" fillId="2" borderId="10" xfId="0" applyNumberFormat="1" applyFont="1" applyFill="1" applyBorder="1" applyAlignment="1" applyProtection="1">
      <alignment horizontal="center" vertical="center" wrapText="1"/>
      <protection hidden="1"/>
    </xf>
    <xf numFmtId="2" fontId="5" fillId="2" borderId="11" xfId="0" applyNumberFormat="1" applyFont="1" applyFill="1" applyBorder="1" applyAlignment="1" applyProtection="1">
      <alignment horizontal="center" vertical="center" wrapText="1"/>
      <protection hidden="1"/>
    </xf>
    <xf numFmtId="2" fontId="45" fillId="2" borderId="0" xfId="0" applyNumberFormat="1" applyFont="1" applyFill="1" applyAlignment="1" applyProtection="1">
      <alignment horizontal="right" vertical="center"/>
      <protection hidden="1"/>
    </xf>
    <xf numFmtId="2" fontId="45" fillId="0" borderId="0" xfId="0" applyNumberFormat="1" applyFont="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1" fillId="2" borderId="0" xfId="0" applyFont="1" applyFill="1" applyAlignment="1">
      <alignment horizontal="justify" vertical="center" wrapText="1"/>
    </xf>
    <xf numFmtId="0" fontId="18" fillId="0" borderId="0" xfId="0" applyFont="1" applyFill="1" applyAlignment="1">
      <alignment vertical="center" wrapText="1"/>
    </xf>
    <xf numFmtId="0" fontId="45" fillId="0" borderId="0" xfId="0" applyFont="1" applyFill="1" applyBorder="1" applyAlignment="1" applyProtection="1">
      <alignment horizontal="left" vertical="center" wrapText="1"/>
      <protection hidden="1"/>
    </xf>
    <xf numFmtId="0" fontId="1" fillId="0" borderId="0" xfId="0" applyFont="1" applyAlignment="1" applyProtection="1">
      <alignment vertical="top"/>
      <protection hidden="1"/>
    </xf>
    <xf numFmtId="0" fontId="1" fillId="2" borderId="0" xfId="0" applyFont="1" applyFill="1" applyBorder="1" applyAlignment="1" applyProtection="1">
      <alignment vertical="center" wrapText="1"/>
      <protection locked="0" hidden="1"/>
    </xf>
    <xf numFmtId="0" fontId="1" fillId="23" borderId="0" xfId="0" applyFont="1" applyFill="1" applyProtection="1">
      <protection hidden="1"/>
    </xf>
    <xf numFmtId="170" fontId="1" fillId="2" borderId="0" xfId="0" applyNumberFormat="1" applyFont="1" applyFill="1" applyBorder="1" applyAlignment="1" applyProtection="1">
      <alignment horizontal="left" vertical="center" wrapText="1"/>
      <protection hidden="1"/>
    </xf>
    <xf numFmtId="0" fontId="45" fillId="0" borderId="0" xfId="0" applyFont="1" applyFill="1" applyAlignment="1" applyProtection="1">
      <alignment vertical="center" wrapText="1"/>
      <protection hidden="1"/>
    </xf>
    <xf numFmtId="11" fontId="1" fillId="0" borderId="0" xfId="0" applyNumberFormat="1" applyFont="1" applyFill="1" applyProtection="1">
      <protection hidden="1"/>
    </xf>
    <xf numFmtId="0" fontId="1" fillId="0" borderId="0" xfId="0" applyFont="1" applyFill="1" applyBorder="1" applyAlignment="1" applyProtection="1">
      <alignment horizontal="left" vertical="center" wrapText="1"/>
      <protection hidden="1"/>
    </xf>
    <xf numFmtId="0" fontId="1" fillId="0" borderId="0" xfId="0" applyFont="1" applyFill="1" applyAlignment="1" applyProtection="1">
      <alignment vertical="justify" wrapText="1"/>
      <protection hidden="1"/>
    </xf>
    <xf numFmtId="0" fontId="1" fillId="0" borderId="0" xfId="0" applyFont="1" applyAlignment="1" applyProtection="1">
      <alignment vertical="justify" wrapText="1"/>
      <protection hidden="1"/>
    </xf>
    <xf numFmtId="0" fontId="1" fillId="0" borderId="0" xfId="0" applyFont="1" applyAlignment="1" applyProtection="1">
      <protection hidden="1"/>
    </xf>
    <xf numFmtId="0" fontId="1" fillId="2" borderId="0" xfId="0" applyFont="1" applyFill="1" applyAlignment="1" applyProtection="1">
      <protection hidden="1"/>
    </xf>
    <xf numFmtId="0" fontId="1" fillId="2" borderId="0" xfId="0" applyFont="1" applyFill="1" applyAlignment="1" applyProtection="1">
      <alignment horizontal="justify" vertical="center" wrapText="1"/>
      <protection locked="0" hidden="1"/>
    </xf>
    <xf numFmtId="0" fontId="45" fillId="0" borderId="0" xfId="0" applyFont="1" applyAlignment="1" applyProtection="1">
      <protection hidden="1"/>
    </xf>
    <xf numFmtId="0" fontId="1" fillId="0" borderId="0" xfId="0" applyFont="1" applyAlignment="1" applyProtection="1">
      <alignment horizontal="justify" vertical="center" wrapText="1"/>
      <protection locked="0" hidden="1"/>
    </xf>
    <xf numFmtId="0" fontId="68" fillId="2" borderId="36" xfId="0" applyFont="1" applyFill="1" applyBorder="1" applyAlignment="1" applyProtection="1">
      <alignment horizontal="justify" vertical="center" wrapText="1"/>
      <protection hidden="1"/>
    </xf>
    <xf numFmtId="168" fontId="1" fillId="0" borderId="0" xfId="0" applyNumberFormat="1" applyFont="1" applyAlignment="1" applyProtection="1">
      <alignment vertical="center"/>
      <protection hidden="1"/>
    </xf>
    <xf numFmtId="0" fontId="1" fillId="0" borderId="0" xfId="0" applyFont="1" applyAlignment="1" applyProtection="1">
      <alignment horizontal="center"/>
      <protection hidden="1"/>
    </xf>
    <xf numFmtId="2" fontId="8" fillId="0" borderId="2" xfId="0" applyNumberFormat="1" applyFont="1" applyFill="1" applyBorder="1" applyAlignment="1" applyProtection="1">
      <alignment horizontal="center" vertical="center" wrapText="1"/>
      <protection hidden="1"/>
    </xf>
    <xf numFmtId="2" fontId="8" fillId="0" borderId="37" xfId="0" applyNumberFormat="1" applyFont="1" applyFill="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9" fillId="6" borderId="35" xfId="0" applyFont="1" applyFill="1" applyBorder="1" applyAlignment="1" applyProtection="1">
      <alignment horizontal="center" vertical="center"/>
      <protection hidden="1"/>
    </xf>
    <xf numFmtId="174" fontId="29" fillId="0" borderId="4" xfId="0" applyNumberFormat="1" applyFont="1" applyFill="1" applyBorder="1" applyAlignment="1" applyProtection="1">
      <alignment horizontal="center" vertical="center"/>
      <protection hidden="1"/>
    </xf>
    <xf numFmtId="179" fontId="29" fillId="0" borderId="7" xfId="0" applyNumberFormat="1"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170" fontId="29" fillId="0" borderId="8" xfId="0"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protection hidden="1"/>
    </xf>
    <xf numFmtId="2" fontId="26" fillId="8" borderId="58" xfId="0" applyNumberFormat="1" applyFont="1" applyFill="1" applyBorder="1" applyAlignment="1" applyProtection="1">
      <alignment horizontal="center" vertical="center"/>
      <protection hidden="1"/>
    </xf>
    <xf numFmtId="2" fontId="26" fillId="3" borderId="59" xfId="0" applyNumberFormat="1" applyFont="1" applyFill="1" applyBorder="1" applyAlignment="1" applyProtection="1">
      <alignment horizontal="center" vertical="center" wrapText="1"/>
      <protection hidden="1"/>
    </xf>
    <xf numFmtId="2" fontId="26" fillId="3" borderId="23" xfId="0" applyNumberFormat="1" applyFont="1" applyFill="1" applyBorder="1" applyAlignment="1" applyProtection="1">
      <alignment horizontal="center" vertical="center" wrapText="1"/>
      <protection hidden="1"/>
    </xf>
    <xf numFmtId="2" fontId="10" fillId="9" borderId="1" xfId="0" applyNumberFormat="1" applyFont="1" applyFill="1" applyBorder="1" applyAlignment="1" applyProtection="1">
      <alignment horizontal="center" vertical="center"/>
      <protection hidden="1"/>
    </xf>
    <xf numFmtId="169" fontId="10" fillId="9" borderId="5" xfId="0" applyNumberFormat="1" applyFont="1" applyFill="1" applyBorder="1" applyAlignment="1" applyProtection="1">
      <alignment horizontal="center" vertical="center"/>
      <protection hidden="1"/>
    </xf>
    <xf numFmtId="2" fontId="10" fillId="9" borderId="5" xfId="0" applyNumberFormat="1" applyFont="1" applyFill="1" applyBorder="1" applyAlignment="1" applyProtection="1">
      <alignment horizontal="center" vertical="center"/>
      <protection hidden="1"/>
    </xf>
    <xf numFmtId="2" fontId="10" fillId="9" borderId="8" xfId="0" applyNumberFormat="1" applyFont="1" applyFill="1" applyBorder="1" applyAlignment="1" applyProtection="1">
      <alignment horizontal="center" vertical="center"/>
      <protection hidden="1"/>
    </xf>
    <xf numFmtId="171" fontId="9" fillId="9" borderId="9" xfId="0" applyNumberFormat="1" applyFont="1" applyFill="1" applyBorder="1" applyAlignment="1" applyProtection="1">
      <alignment horizontal="center" vertical="center"/>
      <protection hidden="1"/>
    </xf>
    <xf numFmtId="171" fontId="9" fillId="9" borderId="10" xfId="0" applyNumberFormat="1" applyFont="1" applyFill="1" applyBorder="1" applyAlignment="1" applyProtection="1">
      <alignment horizontal="center" vertical="center"/>
      <protection hidden="1"/>
    </xf>
    <xf numFmtId="164" fontId="9" fillId="9" borderId="10" xfId="0" applyNumberFormat="1" applyFont="1" applyFill="1" applyBorder="1" applyAlignment="1" applyProtection="1">
      <alignment horizontal="center" vertical="center"/>
      <protection hidden="1"/>
    </xf>
    <xf numFmtId="2" fontId="10" fillId="9" borderId="11" xfId="0" applyNumberFormat="1" applyFont="1" applyFill="1" applyBorder="1" applyAlignment="1" applyProtection="1">
      <alignment horizontal="center" vertical="center"/>
      <protection hidden="1"/>
    </xf>
    <xf numFmtId="0" fontId="45" fillId="0" borderId="51" xfId="0" applyFont="1" applyBorder="1" applyAlignment="1">
      <alignment horizontal="center" vertical="center"/>
    </xf>
    <xf numFmtId="0" fontId="45" fillId="0" borderId="59" xfId="0" applyFont="1" applyBorder="1" applyAlignment="1">
      <alignment horizontal="center" vertical="center"/>
    </xf>
    <xf numFmtId="171" fontId="45" fillId="7" borderId="1" xfId="0" applyNumberFormat="1" applyFont="1" applyFill="1" applyBorder="1" applyAlignment="1" applyProtection="1">
      <alignment horizontal="center" vertical="center" wrapText="1"/>
      <protection locked="0"/>
    </xf>
    <xf numFmtId="171" fontId="45" fillId="25" borderId="1" xfId="0" applyNumberFormat="1" applyFont="1" applyFill="1" applyBorder="1" applyAlignment="1">
      <alignment horizontal="center" vertical="center"/>
    </xf>
    <xf numFmtId="171" fontId="45" fillId="7" borderId="42" xfId="0" applyNumberFormat="1" applyFont="1" applyFill="1" applyBorder="1" applyAlignment="1" applyProtection="1">
      <alignment horizontal="center" vertical="center" wrapText="1"/>
      <protection locked="0"/>
    </xf>
    <xf numFmtId="171" fontId="45" fillId="25" borderId="42" xfId="0" applyNumberFormat="1" applyFont="1" applyFill="1" applyBorder="1" applyAlignment="1">
      <alignment horizontal="center" vertical="center"/>
    </xf>
    <xf numFmtId="171" fontId="45" fillId="7" borderId="3" xfId="0" applyNumberFormat="1" applyFont="1" applyFill="1" applyBorder="1" applyAlignment="1" applyProtection="1">
      <alignment horizontal="center" vertical="center" wrapText="1"/>
      <protection locked="0"/>
    </xf>
    <xf numFmtId="171" fontId="45" fillId="25" borderId="3" xfId="0" applyNumberFormat="1" applyFont="1" applyFill="1" applyBorder="1" applyAlignment="1">
      <alignment horizontal="center" vertical="center"/>
    </xf>
    <xf numFmtId="171" fontId="45" fillId="25" borderId="13" xfId="0" applyNumberFormat="1" applyFont="1" applyFill="1" applyBorder="1" applyAlignment="1">
      <alignment horizontal="center" vertical="center" wrapText="1"/>
    </xf>
    <xf numFmtId="0" fontId="45" fillId="24" borderId="70"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5" fillId="24" borderId="58" xfId="0" applyFont="1" applyFill="1" applyBorder="1" applyAlignment="1">
      <alignment horizontal="center" vertical="center" wrapText="1"/>
    </xf>
    <xf numFmtId="0" fontId="45" fillId="24" borderId="51" xfId="0" applyFont="1" applyFill="1" applyBorder="1" applyAlignment="1">
      <alignment horizontal="center" vertical="center" wrapText="1"/>
    </xf>
    <xf numFmtId="0" fontId="45" fillId="24" borderId="59" xfId="0" applyFont="1" applyFill="1" applyBorder="1" applyAlignment="1">
      <alignment horizontal="center" vertical="center" wrapText="1"/>
    </xf>
    <xf numFmtId="198" fontId="0" fillId="0" borderId="1" xfId="0" applyNumberFormat="1" applyBorder="1" applyAlignment="1">
      <alignment horizontal="center" vertical="center"/>
    </xf>
    <xf numFmtId="198" fontId="0" fillId="0" borderId="5" xfId="0" applyNumberFormat="1" applyBorder="1" applyAlignment="1">
      <alignment horizontal="center" vertical="center"/>
    </xf>
    <xf numFmtId="0" fontId="0" fillId="0" borderId="39" xfId="0" applyNumberFormat="1" applyBorder="1" applyAlignment="1">
      <alignment horizontal="center" vertical="center"/>
    </xf>
    <xf numFmtId="0" fontId="0" fillId="0" borderId="42" xfId="0" applyNumberFormat="1" applyBorder="1" applyAlignment="1">
      <alignment horizontal="center" vertical="center"/>
    </xf>
    <xf numFmtId="198" fontId="0" fillId="0" borderId="8" xfId="0" applyNumberFormat="1" applyBorder="1" applyAlignment="1">
      <alignment horizontal="center" vertical="center"/>
    </xf>
    <xf numFmtId="0" fontId="0" fillId="0" borderId="12" xfId="0" applyNumberFormat="1"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7"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1" fillId="2" borderId="0" xfId="0" applyFont="1" applyFill="1" applyAlignment="1" applyProtection="1">
      <alignment horizontal="justify" vertical="center" wrapText="1"/>
      <protection hidden="1"/>
    </xf>
    <xf numFmtId="0" fontId="45" fillId="0" borderId="0" xfId="0" applyFont="1" applyAlignment="1" applyProtection="1">
      <alignment horizontal="left" vertical="center" wrapText="1"/>
      <protection hidden="1"/>
    </xf>
    <xf numFmtId="0" fontId="1" fillId="2" borderId="0" xfId="0" applyFont="1" applyFill="1" applyAlignment="1" applyProtection="1">
      <alignment vertical="justify" wrapText="1"/>
      <protection locked="0" hidden="1"/>
    </xf>
    <xf numFmtId="0" fontId="14" fillId="2" borderId="0" xfId="0" applyFont="1" applyFill="1" applyBorder="1" applyAlignment="1" applyProtection="1">
      <alignment horizontal="center" vertical="center" wrapText="1"/>
      <protection hidden="1"/>
    </xf>
    <xf numFmtId="171" fontId="45" fillId="2" borderId="0" xfId="0" applyNumberFormat="1" applyFont="1" applyFill="1" applyBorder="1" applyAlignment="1" applyProtection="1">
      <alignment horizontal="center" vertical="center" wrapText="1"/>
      <protection hidden="1"/>
    </xf>
    <xf numFmtId="186" fontId="8" fillId="2"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1" fillId="28" borderId="0" xfId="3"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0" fontId="47" fillId="2" borderId="0" xfId="0" applyFont="1" applyFill="1" applyAlignment="1">
      <alignment horizontal="justify" vertical="center" wrapText="1"/>
    </xf>
    <xf numFmtId="0" fontId="20" fillId="2" borderId="0" xfId="0" applyFont="1" applyFill="1" applyAlignment="1">
      <alignment vertical="center" wrapText="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2" fontId="14" fillId="2" borderId="35" xfId="0" applyNumberFormat="1" applyFont="1" applyFill="1" applyBorder="1" applyAlignment="1" applyProtection="1">
      <alignment horizontal="center" vertical="center" wrapText="1"/>
      <protection hidden="1"/>
    </xf>
    <xf numFmtId="2" fontId="14" fillId="19" borderId="56" xfId="0" applyNumberFormat="1" applyFont="1" applyFill="1" applyBorder="1" applyAlignment="1" applyProtection="1">
      <alignment horizontal="center" vertical="top"/>
      <protection hidden="1"/>
    </xf>
    <xf numFmtId="164" fontId="14" fillId="19" borderId="39" xfId="0" applyNumberFormat="1" applyFont="1" applyFill="1" applyBorder="1" applyAlignment="1" applyProtection="1">
      <alignment horizontal="center" vertical="center"/>
      <protection hidden="1"/>
    </xf>
    <xf numFmtId="164" fontId="14" fillId="19" borderId="42" xfId="0" applyNumberFormat="1" applyFont="1" applyFill="1" applyBorder="1" applyAlignment="1" applyProtection="1">
      <alignment horizontal="center" vertical="center"/>
      <protection hidden="1"/>
    </xf>
    <xf numFmtId="164" fontId="14" fillId="19" borderId="12" xfId="0" applyNumberFormat="1" applyFont="1" applyFill="1" applyBorder="1" applyAlignment="1" applyProtection="1">
      <alignment horizontal="center" vertical="center"/>
      <protection hidden="1"/>
    </xf>
    <xf numFmtId="0" fontId="28" fillId="12" borderId="14" xfId="0" applyFont="1" applyFill="1" applyBorder="1" applyAlignment="1" applyProtection="1">
      <alignment horizontal="center" vertical="center"/>
      <protection hidden="1"/>
    </xf>
    <xf numFmtId="0" fontId="28" fillId="12" borderId="15" xfId="0" applyFont="1" applyFill="1" applyBorder="1" applyAlignment="1" applyProtection="1">
      <alignment horizontal="center" vertical="center"/>
      <protection hidden="1"/>
    </xf>
    <xf numFmtId="0" fontId="28" fillId="12" borderId="16"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protection hidden="1"/>
    </xf>
    <xf numFmtId="0" fontId="27" fillId="6" borderId="15" xfId="0" applyFont="1" applyFill="1" applyBorder="1" applyAlignment="1" applyProtection="1">
      <alignment horizontal="center" vertical="center"/>
      <protection hidden="1"/>
    </xf>
    <xf numFmtId="0" fontId="27" fillId="6" borderId="16"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3" fontId="29"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9"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9"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49" fontId="29" fillId="21" borderId="54" xfId="0"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protection hidden="1"/>
    </xf>
    <xf numFmtId="0" fontId="26" fillId="12" borderId="31" xfId="0" applyFont="1" applyFill="1" applyBorder="1" applyAlignment="1" applyProtection="1">
      <alignment horizontal="center" vertical="center"/>
      <protection hidden="1"/>
    </xf>
    <xf numFmtId="0" fontId="26" fillId="12" borderId="23" xfId="0" applyFont="1" applyFill="1" applyBorder="1" applyAlignment="1" applyProtection="1">
      <alignment horizontal="center" vertical="center"/>
      <protection hidden="1"/>
    </xf>
    <xf numFmtId="0" fontId="26" fillId="12" borderId="21" xfId="0" applyFont="1" applyFill="1" applyBorder="1" applyAlignment="1" applyProtection="1">
      <alignment horizontal="center" vertical="center"/>
      <protection hidden="1"/>
    </xf>
    <xf numFmtId="0" fontId="26" fillId="12" borderId="40" xfId="0" applyFont="1" applyFill="1" applyBorder="1" applyAlignment="1" applyProtection="1">
      <alignment horizontal="center" vertical="center"/>
      <protection hidden="1"/>
    </xf>
    <xf numFmtId="0" fontId="26" fillId="12" borderId="6" xfId="0" applyFont="1" applyFill="1" applyBorder="1" applyAlignment="1" applyProtection="1">
      <alignment horizontal="center" vertical="center"/>
      <protection hidden="1"/>
    </xf>
    <xf numFmtId="0" fontId="26" fillId="12" borderId="14" xfId="0" applyFont="1" applyFill="1" applyBorder="1" applyAlignment="1" applyProtection="1">
      <alignment horizontal="center" vertical="center"/>
      <protection hidden="1"/>
    </xf>
    <xf numFmtId="0" fontId="26" fillId="12" borderId="15" xfId="0" applyFont="1" applyFill="1" applyBorder="1" applyAlignment="1" applyProtection="1">
      <alignment horizontal="center" vertical="center"/>
      <protection hidden="1"/>
    </xf>
    <xf numFmtId="0" fontId="26" fillId="12" borderId="16" xfId="0" applyFont="1" applyFill="1" applyBorder="1" applyAlignment="1" applyProtection="1">
      <alignment horizontal="center" vertical="center"/>
      <protection hidden="1"/>
    </xf>
    <xf numFmtId="0" fontId="17" fillId="6" borderId="4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29" fillId="18" borderId="58"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0" fontId="29" fillId="18" borderId="48"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31" fillId="15" borderId="65" xfId="0" applyFont="1" applyFill="1" applyBorder="1" applyAlignment="1" applyProtection="1">
      <alignment horizontal="center" vertical="center"/>
      <protection hidden="1"/>
    </xf>
    <xf numFmtId="0" fontId="31" fillId="15" borderId="66" xfId="0" applyFont="1" applyFill="1" applyBorder="1" applyAlignment="1" applyProtection="1">
      <alignment horizontal="center" vertical="center"/>
      <protection hidden="1"/>
    </xf>
    <xf numFmtId="0" fontId="31" fillId="15" borderId="67" xfId="0" applyFont="1" applyFill="1" applyBorder="1" applyAlignment="1" applyProtection="1">
      <alignment horizontal="center" vertical="center"/>
      <protection hidden="1"/>
    </xf>
    <xf numFmtId="0" fontId="30" fillId="22" borderId="33" xfId="0" applyFont="1" applyFill="1" applyBorder="1" applyAlignment="1" applyProtection="1">
      <alignment horizontal="center" vertical="center" wrapText="1"/>
      <protection hidden="1"/>
    </xf>
    <xf numFmtId="0" fontId="30" fillId="22" borderId="56" xfId="0" applyFont="1" applyFill="1" applyBorder="1" applyAlignment="1" applyProtection="1">
      <alignment horizontal="center" vertical="center" wrapText="1"/>
      <protection hidden="1"/>
    </xf>
    <xf numFmtId="0" fontId="30" fillId="22" borderId="34" xfId="0" applyFont="1" applyFill="1" applyBorder="1" applyAlignment="1" applyProtection="1">
      <alignment horizontal="center" vertical="center" wrapText="1"/>
      <protection hidden="1"/>
    </xf>
    <xf numFmtId="0" fontId="31" fillId="15" borderId="23" xfId="0" applyFont="1" applyFill="1" applyBorder="1" applyAlignment="1" applyProtection="1">
      <alignment horizontal="center" vertical="center"/>
      <protection hidden="1"/>
    </xf>
    <xf numFmtId="0" fontId="31" fillId="15" borderId="38" xfId="0" applyFont="1" applyFill="1" applyBorder="1" applyAlignment="1" applyProtection="1">
      <alignment horizontal="center" vertical="center"/>
      <protection hidden="1"/>
    </xf>
    <xf numFmtId="0" fontId="31" fillId="15" borderId="6" xfId="0" applyFont="1" applyFill="1" applyBorder="1" applyAlignment="1" applyProtection="1">
      <alignment horizontal="center" vertical="center"/>
      <protection hidden="1"/>
    </xf>
    <xf numFmtId="0" fontId="29" fillId="27" borderId="22" xfId="0" applyFont="1" applyFill="1" applyBorder="1" applyAlignment="1" applyProtection="1">
      <alignment horizontal="center" vertical="center"/>
      <protection hidden="1"/>
    </xf>
    <xf numFmtId="0" fontId="29" fillId="27" borderId="21" xfId="0" applyFont="1" applyFill="1" applyBorder="1" applyAlignment="1" applyProtection="1">
      <alignment horizontal="center" vertical="center"/>
      <protection hidden="1"/>
    </xf>
    <xf numFmtId="0" fontId="31" fillId="18" borderId="41" xfId="0" applyFont="1" applyFill="1" applyBorder="1" applyAlignment="1" applyProtection="1">
      <alignment horizontal="center" vertical="center"/>
      <protection hidden="1"/>
    </xf>
    <xf numFmtId="0" fontId="31" fillId="18" borderId="1" xfId="0" applyFont="1" applyFill="1" applyBorder="1" applyAlignment="1" applyProtection="1">
      <alignment horizontal="center" vertical="center"/>
      <protection hidden="1"/>
    </xf>
    <xf numFmtId="0" fontId="29" fillId="19" borderId="64"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protection hidden="1"/>
    </xf>
    <xf numFmtId="0" fontId="30" fillId="18" borderId="5"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0" fontId="31" fillId="18" borderId="7" xfId="0" applyFont="1" applyFill="1" applyBorder="1" applyAlignment="1" applyProtection="1">
      <alignment horizontal="center" vertical="center"/>
      <protection hidden="1"/>
    </xf>
    <xf numFmtId="0" fontId="31" fillId="18" borderId="8" xfId="0" applyFont="1" applyFill="1" applyBorder="1" applyAlignment="1" applyProtection="1">
      <alignment horizontal="center" vertical="center"/>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31" fillId="18" borderId="22" xfId="0" applyFont="1" applyFill="1" applyBorder="1" applyAlignment="1" applyProtection="1">
      <alignment horizontal="center" vertical="center"/>
      <protection hidden="1"/>
    </xf>
    <xf numFmtId="0" fontId="31" fillId="18" borderId="31" xfId="0" applyFont="1" applyFill="1" applyBorder="1" applyAlignment="1" applyProtection="1">
      <alignment horizontal="center" vertical="center"/>
      <protection hidden="1"/>
    </xf>
    <xf numFmtId="0" fontId="31" fillId="18" borderId="24" xfId="0" applyFont="1" applyFill="1" applyBorder="1" applyAlignment="1" applyProtection="1">
      <alignment horizontal="center" vertical="center"/>
      <protection hidden="1"/>
    </xf>
    <xf numFmtId="0" fontId="31" fillId="18" borderId="0" xfId="0" applyFont="1" applyFill="1" applyBorder="1" applyAlignment="1" applyProtection="1">
      <alignment horizontal="center" vertical="center"/>
      <protection hidden="1"/>
    </xf>
    <xf numFmtId="0" fontId="31" fillId="18" borderId="21" xfId="0" applyFont="1" applyFill="1" applyBorder="1" applyAlignment="1" applyProtection="1">
      <alignment horizontal="center" vertical="center"/>
      <protection hidden="1"/>
    </xf>
    <xf numFmtId="0" fontId="31" fillId="18" borderId="40"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protection hidden="1"/>
    </xf>
    <xf numFmtId="0" fontId="27" fillId="18" borderId="31" xfId="0" applyFont="1" applyFill="1" applyBorder="1" applyAlignment="1" applyProtection="1">
      <alignment horizontal="center" vertical="center"/>
      <protection hidden="1"/>
    </xf>
    <xf numFmtId="0" fontId="27" fillId="18" borderId="24" xfId="0" applyFont="1" applyFill="1" applyBorder="1" applyAlignment="1" applyProtection="1">
      <alignment horizontal="center" vertical="center"/>
      <protection hidden="1"/>
    </xf>
    <xf numFmtId="0" fontId="27" fillId="18" borderId="0" xfId="0" applyFont="1" applyFill="1" applyBorder="1" applyAlignment="1" applyProtection="1">
      <alignment horizontal="center" vertical="center"/>
      <protection hidden="1"/>
    </xf>
    <xf numFmtId="0" fontId="27" fillId="18" borderId="21" xfId="0" applyFont="1" applyFill="1" applyBorder="1" applyAlignment="1" applyProtection="1">
      <alignment horizontal="center" vertical="center"/>
      <protection hidden="1"/>
    </xf>
    <xf numFmtId="0" fontId="27" fillId="18" borderId="40" xfId="0" applyFont="1" applyFill="1" applyBorder="1" applyAlignment="1" applyProtection="1">
      <alignment horizontal="center" vertical="center"/>
      <protection hidden="1"/>
    </xf>
    <xf numFmtId="0" fontId="31" fillId="18" borderId="23" xfId="0" applyFont="1" applyFill="1" applyBorder="1" applyAlignment="1" applyProtection="1">
      <alignment horizontal="center" vertical="center"/>
      <protection hidden="1"/>
    </xf>
    <xf numFmtId="0" fontId="31" fillId="18" borderId="38" xfId="0" applyFont="1" applyFill="1" applyBorder="1" applyAlignment="1" applyProtection="1">
      <alignment horizontal="center" vertical="center"/>
      <protection hidden="1"/>
    </xf>
    <xf numFmtId="0" fontId="31" fillId="18" borderId="6"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wrapText="1"/>
      <protection hidden="1"/>
    </xf>
    <xf numFmtId="0" fontId="27" fillId="18" borderId="23" xfId="0" applyFont="1" applyFill="1" applyBorder="1" applyAlignment="1" applyProtection="1">
      <alignment horizontal="center" vertical="center" wrapText="1"/>
      <protection hidden="1"/>
    </xf>
    <xf numFmtId="0" fontId="27" fillId="18" borderId="24" xfId="0" applyFont="1" applyFill="1" applyBorder="1" applyAlignment="1" applyProtection="1">
      <alignment horizontal="center" vertical="center" wrapText="1"/>
      <protection hidden="1"/>
    </xf>
    <xf numFmtId="0" fontId="27" fillId="18" borderId="38" xfId="0" applyFont="1" applyFill="1" applyBorder="1" applyAlignment="1" applyProtection="1">
      <alignment horizontal="center" vertical="center" wrapText="1"/>
      <protection hidden="1"/>
    </xf>
    <xf numFmtId="0" fontId="27" fillId="18" borderId="21" xfId="0" applyFont="1" applyFill="1" applyBorder="1" applyAlignment="1" applyProtection="1">
      <alignment horizontal="center" vertical="center" wrapText="1"/>
      <protection hidden="1"/>
    </xf>
    <xf numFmtId="0" fontId="27" fillId="18" borderId="6" xfId="0" applyFont="1" applyFill="1" applyBorder="1" applyAlignment="1" applyProtection="1">
      <alignment horizontal="center" vertical="center" wrapText="1"/>
      <protection hidden="1"/>
    </xf>
    <xf numFmtId="0" fontId="30" fillId="18" borderId="51"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49" fontId="27" fillId="6" borderId="43" xfId="0" applyNumberFormat="1" applyFont="1" applyFill="1" applyBorder="1" applyAlignment="1" applyProtection="1">
      <alignment horizontal="center" vertical="center"/>
      <protection hidden="1"/>
    </xf>
    <xf numFmtId="49" fontId="27" fillId="6" borderId="7" xfId="0" applyNumberFormat="1" applyFont="1" applyFill="1" applyBorder="1" applyAlignment="1" applyProtection="1">
      <alignment horizontal="center" vertical="center"/>
      <protection hidden="1"/>
    </xf>
    <xf numFmtId="49" fontId="27" fillId="6" borderId="20" xfId="0" applyNumberFormat="1" applyFont="1" applyFill="1" applyBorder="1" applyAlignment="1" applyProtection="1">
      <alignment horizontal="center" vertical="center" wrapText="1"/>
      <protection hidden="1"/>
    </xf>
    <xf numFmtId="49" fontId="27" fillId="6" borderId="8" xfId="0" applyNumberFormat="1" applyFont="1" applyFill="1" applyBorder="1" applyAlignment="1" applyProtection="1">
      <alignment horizontal="center" vertical="center" wrapText="1"/>
      <protection hidden="1"/>
    </xf>
    <xf numFmtId="49" fontId="27" fillId="6" borderId="26" xfId="2" applyNumberFormat="1" applyFont="1" applyFill="1" applyBorder="1" applyAlignment="1" applyProtection="1">
      <alignment horizontal="center" vertical="center"/>
      <protection hidden="1"/>
    </xf>
    <xf numFmtId="49" fontId="27" fillId="6" borderId="49" xfId="2" applyNumberFormat="1" applyFont="1" applyFill="1" applyBorder="1" applyAlignment="1" applyProtection="1">
      <alignment horizontal="center" vertical="center"/>
      <protection hidden="1"/>
    </xf>
    <xf numFmtId="49" fontId="27" fillId="6" borderId="20" xfId="2" applyNumberFormat="1" applyFont="1" applyFill="1" applyBorder="1" applyAlignment="1" applyProtection="1">
      <alignment horizontal="center" vertical="center" wrapText="1"/>
      <protection hidden="1"/>
    </xf>
    <xf numFmtId="49" fontId="27" fillId="6" borderId="8" xfId="2" applyNumberFormat="1" applyFont="1" applyFill="1" applyBorder="1" applyAlignment="1" applyProtection="1">
      <alignment horizontal="center" vertical="center" wrapText="1"/>
      <protection hidden="1"/>
    </xf>
    <xf numFmtId="49" fontId="27" fillId="6" borderId="5" xfId="2"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wrapText="1"/>
      <protection hidden="1"/>
    </xf>
    <xf numFmtId="0" fontId="26" fillId="12" borderId="31" xfId="0" applyFont="1" applyFill="1" applyBorder="1" applyAlignment="1" applyProtection="1">
      <alignment horizontal="center" vertical="center" wrapText="1"/>
      <protection hidden="1"/>
    </xf>
    <xf numFmtId="0" fontId="26" fillId="12" borderId="23" xfId="0" applyFont="1" applyFill="1" applyBorder="1" applyAlignment="1" applyProtection="1">
      <alignment horizontal="center" vertical="center" wrapText="1"/>
      <protection hidden="1"/>
    </xf>
    <xf numFmtId="0" fontId="26" fillId="12" borderId="21" xfId="0" applyFont="1" applyFill="1" applyBorder="1" applyAlignment="1" applyProtection="1">
      <alignment horizontal="center" vertical="center" wrapText="1"/>
      <protection hidden="1"/>
    </xf>
    <xf numFmtId="0" fontId="26" fillId="12" borderId="40" xfId="0" applyFont="1" applyFill="1" applyBorder="1" applyAlignment="1" applyProtection="1">
      <alignment horizontal="center" vertical="center" wrapText="1"/>
      <protection hidden="1"/>
    </xf>
    <xf numFmtId="0" fontId="26" fillId="12" borderId="6"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27" fillId="6" borderId="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protection hidden="1"/>
    </xf>
    <xf numFmtId="0" fontId="30" fillId="22" borderId="21" xfId="0" applyFont="1" applyFill="1" applyBorder="1" applyAlignment="1" applyProtection="1">
      <alignment horizontal="center" vertical="center"/>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wrapText="1"/>
      <protection hidden="1"/>
    </xf>
    <xf numFmtId="0" fontId="30" fillId="22" borderId="21"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27" fillId="6" borderId="32"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7" fillId="6" borderId="32" xfId="0" applyFont="1" applyFill="1" applyBorder="1" applyAlignment="1" applyProtection="1">
      <alignment horizontal="center" vertical="center"/>
      <protection hidden="1"/>
    </xf>
    <xf numFmtId="0" fontId="27" fillId="22" borderId="5" xfId="0" applyFont="1" applyFill="1" applyBorder="1" applyAlignment="1" applyProtection="1">
      <alignment horizontal="center" vertical="center" wrapText="1"/>
      <protection hidden="1"/>
    </xf>
    <xf numFmtId="0" fontId="27" fillId="22" borderId="32" xfId="0" applyFont="1" applyFill="1" applyBorder="1" applyAlignment="1" applyProtection="1">
      <alignment horizontal="center" vertical="center" wrapText="1"/>
      <protection hidden="1"/>
    </xf>
    <xf numFmtId="49" fontId="27" fillId="6" borderId="4" xfId="2" applyNumberFormat="1" applyFont="1" applyFill="1" applyBorder="1" applyAlignment="1" applyProtection="1">
      <alignment horizontal="center" vertical="center" wrapText="1"/>
      <protection hidden="1"/>
    </xf>
    <xf numFmtId="49" fontId="27" fillId="6" borderId="7" xfId="2" applyNumberFormat="1" applyFont="1" applyFill="1" applyBorder="1" applyAlignment="1" applyProtection="1">
      <alignment horizontal="center" vertical="center" wrapText="1"/>
      <protection hidden="1"/>
    </xf>
    <xf numFmtId="49" fontId="27" fillId="6" borderId="44" xfId="0" applyNumberFormat="1" applyFont="1" applyFill="1" applyBorder="1" applyAlignment="1" applyProtection="1">
      <alignment horizontal="center" vertical="center" wrapText="1"/>
      <protection hidden="1"/>
    </xf>
    <xf numFmtId="49" fontId="27" fillId="6" borderId="12"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wrapText="1"/>
      <protection hidden="1"/>
    </xf>
    <xf numFmtId="0" fontId="17" fillId="6" borderId="14" xfId="0" applyFont="1" applyFill="1" applyBorder="1" applyAlignment="1" applyProtection="1">
      <alignment horizontal="center" vertical="center"/>
      <protection hidden="1"/>
    </xf>
    <xf numFmtId="0" fontId="17" fillId="6" borderId="15"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30" fillId="0" borderId="5" xfId="0" applyFont="1" applyBorder="1" applyAlignment="1" applyProtection="1">
      <alignment horizontal="center"/>
      <protection hidden="1"/>
    </xf>
    <xf numFmtId="0" fontId="29" fillId="0" borderId="5" xfId="0" applyFont="1" applyFill="1" applyBorder="1" applyAlignment="1" applyProtection="1">
      <alignment horizontal="center" vertical="center"/>
      <protection hidden="1"/>
    </xf>
    <xf numFmtId="0" fontId="30" fillId="6" borderId="56"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30" fillId="21" borderId="51" xfId="0" applyFont="1" applyFill="1" applyBorder="1" applyAlignment="1" applyProtection="1">
      <alignment horizontal="center" vertical="center"/>
      <protection hidden="1"/>
    </xf>
    <xf numFmtId="0" fontId="30" fillId="21" borderId="26" xfId="0" applyFont="1" applyFill="1" applyBorder="1" applyAlignment="1" applyProtection="1">
      <alignment horizontal="center" vertical="center"/>
      <protection hidden="1"/>
    </xf>
    <xf numFmtId="0" fontId="30" fillId="21" borderId="49" xfId="0" applyFont="1" applyFill="1" applyBorder="1" applyAlignment="1" applyProtection="1">
      <alignment horizontal="center" vertical="center"/>
      <protection hidden="1"/>
    </xf>
    <xf numFmtId="2" fontId="18" fillId="6" borderId="4" xfId="0" applyNumberFormat="1" applyFont="1" applyFill="1" applyBorder="1" applyAlignment="1" applyProtection="1">
      <alignment horizontal="center" vertical="center"/>
      <protection hidden="1"/>
    </xf>
    <xf numFmtId="2" fontId="18" fillId="6" borderId="45"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3" xfId="3" applyNumberFormat="1" applyFont="1" applyBorder="1" applyAlignment="1" applyProtection="1">
      <alignment horizontal="center" vertical="center" wrapText="1"/>
      <protection locked="0" hidden="1"/>
    </xf>
    <xf numFmtId="1" fontId="6" fillId="13" borderId="34" xfId="3" applyNumberFormat="1" applyFont="1" applyBorder="1" applyAlignment="1" applyProtection="1">
      <alignment horizontal="center" vertical="center" wrapText="1"/>
      <protection locked="0"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8" fillId="6" borderId="37"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17" xfId="0" applyNumberFormat="1" applyFont="1" applyFill="1" applyBorder="1" applyAlignment="1" applyProtection="1">
      <alignment horizontal="center" vertical="center" wrapText="1"/>
      <protection hidden="1"/>
    </xf>
    <xf numFmtId="2" fontId="18" fillId="6" borderId="18" xfId="0" applyNumberFormat="1" applyFont="1" applyFill="1" applyBorder="1" applyAlignment="1" applyProtection="1">
      <alignment horizontal="center" vertical="center" wrapText="1"/>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26" fillId="8" borderId="24" xfId="0" applyNumberFormat="1" applyFont="1" applyFill="1" applyBorder="1" applyAlignment="1" applyProtection="1">
      <alignment horizontal="center" vertical="center" wrapText="1"/>
      <protection hidden="1"/>
    </xf>
    <xf numFmtId="2" fontId="26" fillId="8" borderId="0" xfId="0" applyNumberFormat="1" applyFont="1" applyFill="1" applyBorder="1" applyAlignment="1" applyProtection="1">
      <alignment horizontal="center" vertical="center" wrapText="1"/>
      <protection hidden="1"/>
    </xf>
    <xf numFmtId="2" fontId="9" fillId="6" borderId="53" xfId="0" applyNumberFormat="1" applyFont="1" applyFill="1" applyBorder="1" applyAlignment="1" applyProtection="1">
      <alignment horizontal="center" vertical="center"/>
      <protection hidden="1"/>
    </xf>
    <xf numFmtId="2" fontId="9" fillId="6" borderId="26"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41" xfId="0" applyNumberFormat="1" applyFont="1" applyFill="1" applyBorder="1" applyAlignment="1" applyProtection="1">
      <alignment horizontal="center" vertical="center" wrapText="1"/>
      <protection hidden="1"/>
    </xf>
    <xf numFmtId="2" fontId="14" fillId="6" borderId="1" xfId="0" applyNumberFormat="1" applyFont="1" applyFill="1" applyBorder="1" applyAlignment="1" applyProtection="1">
      <alignment horizontal="center" vertical="center" wrapText="1"/>
      <protection hidden="1"/>
    </xf>
    <xf numFmtId="2" fontId="8" fillId="6" borderId="5" xfId="0" applyNumberFormat="1" applyFont="1" applyFill="1" applyBorder="1" applyAlignment="1" applyProtection="1">
      <alignment horizontal="center" vertical="center"/>
      <protection hidden="1"/>
    </xf>
    <xf numFmtId="2" fontId="8" fillId="6" borderId="39" xfId="0" applyNumberFormat="1" applyFont="1" applyFill="1" applyBorder="1" applyAlignment="1" applyProtection="1">
      <alignment horizontal="center" vertical="center"/>
      <protection hidden="1"/>
    </xf>
    <xf numFmtId="2" fontId="8" fillId="6" borderId="1" xfId="0" applyNumberFormat="1" applyFont="1" applyFill="1" applyBorder="1" applyAlignment="1" applyProtection="1">
      <alignment horizontal="center" vertical="center"/>
      <protection hidden="1"/>
    </xf>
    <xf numFmtId="2" fontId="8" fillId="6" borderId="4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9" fillId="6" borderId="64" xfId="2" applyNumberFormat="1" applyFont="1" applyFill="1" applyBorder="1" applyAlignment="1" applyProtection="1">
      <alignment horizontal="center" vertical="center" wrapText="1"/>
      <protection hidden="1"/>
    </xf>
    <xf numFmtId="2" fontId="9" fillId="6" borderId="45" xfId="2" applyNumberFormat="1" applyFont="1" applyFill="1" applyBorder="1" applyAlignment="1" applyProtection="1">
      <alignment horizontal="center" vertical="center" wrapText="1"/>
      <protection hidden="1"/>
    </xf>
    <xf numFmtId="2" fontId="14" fillId="6" borderId="32"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23" fillId="3" borderId="14" xfId="0" applyNumberFormat="1" applyFont="1" applyFill="1" applyBorder="1" applyAlignment="1" applyProtection="1">
      <alignment horizontal="center" vertical="center"/>
      <protection hidden="1"/>
    </xf>
    <xf numFmtId="2" fontId="23" fillId="3" borderId="15" xfId="0" applyNumberFormat="1" applyFont="1" applyFill="1" applyBorder="1" applyAlignment="1" applyProtection="1">
      <alignment horizontal="center" vertical="center"/>
      <protection hidden="1"/>
    </xf>
    <xf numFmtId="2" fontId="23" fillId="3" borderId="16"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wrapText="1"/>
      <protection hidden="1"/>
    </xf>
    <xf numFmtId="2" fontId="26" fillId="3" borderId="15" xfId="0" applyNumberFormat="1" applyFont="1" applyFill="1" applyBorder="1" applyAlignment="1" applyProtection="1">
      <alignment horizontal="center" vertical="center" wrapText="1"/>
      <protection hidden="1"/>
    </xf>
    <xf numFmtId="2" fontId="26" fillId="3" borderId="16" xfId="0" applyNumberFormat="1" applyFont="1" applyFill="1" applyBorder="1" applyAlignment="1" applyProtection="1">
      <alignment horizontal="center" vertical="center" wrapText="1"/>
      <protection hidden="1"/>
    </xf>
    <xf numFmtId="2" fontId="18" fillId="6" borderId="54" xfId="0" applyNumberFormat="1" applyFont="1" applyFill="1" applyBorder="1" applyAlignment="1" applyProtection="1">
      <alignment horizontal="center" vertical="center"/>
      <protection hidden="1"/>
    </xf>
    <xf numFmtId="2" fontId="18" fillId="6" borderId="30"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2" xfId="2" applyNumberFormat="1" applyFont="1" applyFill="1" applyBorder="1" applyAlignment="1" applyProtection="1">
      <alignment horizontal="center" vertical="center" wrapText="1"/>
      <protection hidden="1"/>
    </xf>
    <xf numFmtId="2" fontId="10" fillId="6" borderId="39" xfId="2" applyNumberFormat="1" applyFont="1" applyFill="1" applyBorder="1" applyAlignment="1" applyProtection="1">
      <alignment horizontal="center" vertical="center" wrapText="1"/>
      <protection hidden="1"/>
    </xf>
    <xf numFmtId="2" fontId="10" fillId="6" borderId="46" xfId="2" applyNumberFormat="1" applyFont="1" applyFill="1" applyBorder="1" applyAlignment="1" applyProtection="1">
      <alignment horizontal="center" vertical="center" wrapText="1"/>
      <protection hidden="1"/>
    </xf>
    <xf numFmtId="2" fontId="26" fillId="3" borderId="22" xfId="0" applyNumberFormat="1" applyFont="1" applyFill="1" applyBorder="1" applyAlignment="1" applyProtection="1">
      <alignment horizontal="center" vertical="center"/>
      <protection hidden="1"/>
    </xf>
    <xf numFmtId="2" fontId="26" fillId="3" borderId="31" xfId="0" applyNumberFormat="1" applyFont="1" applyFill="1" applyBorder="1" applyAlignment="1" applyProtection="1">
      <alignment horizontal="center" vertical="center"/>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7" fillId="13" borderId="33" xfId="3" applyFont="1" applyBorder="1" applyAlignment="1" applyProtection="1">
      <alignment horizontal="center" vertical="center"/>
      <protection locked="0" hidden="1"/>
    </xf>
    <xf numFmtId="2" fontId="7" fillId="13" borderId="34"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31"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42"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6" fillId="3" borderId="21" xfId="0" applyNumberFormat="1" applyFont="1" applyFill="1" applyBorder="1" applyAlignment="1" applyProtection="1">
      <alignment horizontal="center" vertical="center"/>
      <protection hidden="1"/>
    </xf>
    <xf numFmtId="2" fontId="26" fillId="3" borderId="40" xfId="0" applyNumberFormat="1" applyFont="1" applyFill="1" applyBorder="1" applyAlignment="1" applyProtection="1">
      <alignment horizontal="center" vertical="center"/>
      <protection hidden="1"/>
    </xf>
    <xf numFmtId="2" fontId="26" fillId="3" borderId="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73" xfId="0" applyNumberFormat="1" applyFont="1" applyFill="1" applyBorder="1" applyAlignment="1" applyProtection="1">
      <alignment horizontal="center"/>
      <protection hidden="1"/>
    </xf>
    <xf numFmtId="2" fontId="9" fillId="6" borderId="58" xfId="0" applyNumberFormat="1" applyFont="1" applyFill="1" applyBorder="1" applyAlignment="1" applyProtection="1">
      <alignment horizontal="center" vertical="center"/>
      <protection hidden="1"/>
    </xf>
    <xf numFmtId="2" fontId="9" fillId="6" borderId="51"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9" fillId="6" borderId="6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2" fontId="14" fillId="6" borderId="62"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61" xfId="0" applyNumberFormat="1" applyFont="1" applyFill="1" applyBorder="1" applyAlignment="1" applyProtection="1">
      <alignment horizontal="center" vertical="center" wrapText="1"/>
      <protection hidden="1"/>
    </xf>
    <xf numFmtId="2" fontId="14" fillId="6" borderId="72"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14" fillId="6" borderId="12" xfId="0" applyNumberFormat="1" applyFont="1" applyFill="1" applyBorder="1" applyAlignment="1" applyProtection="1">
      <alignment horizontal="center" vertical="center" wrapText="1"/>
      <protection hidden="1"/>
    </xf>
    <xf numFmtId="0" fontId="10" fillId="6" borderId="41" xfId="0" applyFont="1" applyFill="1" applyBorder="1" applyAlignment="1" applyProtection="1">
      <alignment horizontal="center"/>
      <protection hidden="1"/>
    </xf>
    <xf numFmtId="0" fontId="10" fillId="6" borderId="42" xfId="0" applyFont="1" applyFill="1" applyBorder="1" applyAlignment="1" applyProtection="1">
      <alignment horizontal="center"/>
      <protection hidden="1"/>
    </xf>
    <xf numFmtId="0" fontId="10" fillId="6" borderId="4"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2" fontId="8" fillId="6" borderId="63"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67" xfId="0" applyNumberFormat="1" applyFont="1" applyFill="1" applyBorder="1" applyAlignment="1" applyProtection="1">
      <alignment horizontal="center"/>
      <protection hidden="1"/>
    </xf>
    <xf numFmtId="2" fontId="8" fillId="6" borderId="9" xfId="0" applyNumberFormat="1" applyFont="1" applyFill="1" applyBorder="1" applyAlignment="1" applyProtection="1">
      <alignment horizontal="center"/>
      <protection hidden="1"/>
    </xf>
    <xf numFmtId="2" fontId="8" fillId="6" borderId="10" xfId="0" applyNumberFormat="1" applyFont="1" applyFill="1" applyBorder="1" applyAlignment="1" applyProtection="1">
      <alignment horizontal="center"/>
      <protection hidden="1"/>
    </xf>
    <xf numFmtId="2" fontId="8" fillId="6" borderId="11" xfId="0" applyNumberFormat="1" applyFont="1" applyFill="1" applyBorder="1" applyAlignment="1" applyProtection="1">
      <alignment horizontal="center"/>
      <protection hidden="1"/>
    </xf>
    <xf numFmtId="2" fontId="14" fillId="6" borderId="63" xfId="0" applyNumberFormat="1" applyFont="1" applyFill="1" applyBorder="1" applyAlignment="1" applyProtection="1">
      <alignment horizontal="center" vertical="center" wrapText="1"/>
      <protection hidden="1"/>
    </xf>
    <xf numFmtId="2" fontId="14" fillId="6" borderId="67"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24"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protection hidden="1"/>
    </xf>
    <xf numFmtId="2" fontId="8" fillId="6" borderId="72"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18" fillId="11" borderId="9" xfId="0" applyNumberFormat="1" applyFont="1" applyFill="1" applyBorder="1" applyAlignment="1" applyProtection="1">
      <alignment horizontal="center" vertical="center"/>
      <protection hidden="1"/>
    </xf>
    <xf numFmtId="2" fontId="18" fillId="11" borderId="10" xfId="0" applyNumberFormat="1" applyFont="1" applyFill="1" applyBorder="1" applyAlignment="1" applyProtection="1">
      <alignment horizontal="center" vertical="center"/>
      <protection hidden="1"/>
    </xf>
    <xf numFmtId="2" fontId="18" fillId="11" borderId="11" xfId="0" applyNumberFormat="1" applyFont="1" applyFill="1" applyBorder="1" applyAlignment="1" applyProtection="1">
      <alignment horizontal="center" vertical="center"/>
      <protection hidden="1"/>
    </xf>
    <xf numFmtId="0" fontId="34" fillId="3" borderId="7" xfId="0" applyFont="1" applyFill="1" applyBorder="1" applyAlignment="1" applyProtection="1">
      <alignment horizontal="center" vertical="center" wrapText="1"/>
      <protection hidden="1"/>
    </xf>
    <xf numFmtId="0" fontId="34" fillId="3" borderId="8" xfId="0" applyFont="1" applyFill="1" applyBorder="1" applyAlignment="1" applyProtection="1">
      <alignment horizontal="center" vertical="center" wrapText="1"/>
      <protection hidden="1"/>
    </xf>
    <xf numFmtId="2" fontId="5" fillId="6" borderId="48" xfId="0" applyNumberFormat="1" applyFont="1" applyFill="1" applyBorder="1" applyAlignment="1" applyProtection="1">
      <alignment horizontal="left" vertical="center" wrapText="1"/>
      <protection hidden="1"/>
    </xf>
    <xf numFmtId="2" fontId="5" fillId="6" borderId="49" xfId="0" applyNumberFormat="1" applyFont="1" applyFill="1" applyBorder="1" applyAlignment="1" applyProtection="1">
      <alignment horizontal="left" vertical="center" wrapText="1"/>
      <protection hidden="1"/>
    </xf>
    <xf numFmtId="2" fontId="9" fillId="6" borderId="2" xfId="2" applyNumberFormat="1" applyFont="1" applyFill="1" applyBorder="1" applyAlignment="1" applyProtection="1">
      <alignment horizontal="center" vertical="center"/>
      <protection hidden="1"/>
    </xf>
    <xf numFmtId="2" fontId="26" fillId="3" borderId="23"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9"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8" fillId="9" borderId="1" xfId="0" applyNumberFormat="1" applyFont="1" applyFill="1" applyBorder="1" applyAlignment="1" applyProtection="1">
      <alignment horizontal="center" vertical="center"/>
      <protection hidden="1"/>
    </xf>
    <xf numFmtId="2" fontId="8" fillId="9" borderId="42"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2"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3" borderId="3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5" fillId="16"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26" fillId="3" borderId="24"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26" fillId="3" borderId="38" xfId="0" applyNumberFormat="1" applyFont="1" applyFill="1" applyBorder="1" applyAlignment="1" applyProtection="1">
      <alignment horizontal="center" vertical="center"/>
      <protection hidden="1"/>
    </xf>
    <xf numFmtId="2" fontId="8" fillId="2" borderId="22" xfId="0" applyNumberFormat="1" applyFont="1" applyFill="1" applyBorder="1" applyAlignment="1" applyProtection="1">
      <alignment horizontal="left" vertical="top" wrapText="1"/>
      <protection locked="0" hidden="1"/>
    </xf>
    <xf numFmtId="2" fontId="8" fillId="2" borderId="31"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40"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14" fillId="6" borderId="57" xfId="0" applyNumberFormat="1" applyFont="1" applyFill="1" applyBorder="1" applyAlignment="1" applyProtection="1">
      <alignment horizontal="center" vertical="center" wrapText="1"/>
      <protection hidden="1"/>
    </xf>
    <xf numFmtId="2" fontId="14" fillId="6" borderId="25" xfId="0"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8" fillId="6" borderId="9"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18" fillId="6" borderId="22" xfId="0" applyNumberFormat="1" applyFont="1" applyFill="1" applyBorder="1" applyAlignment="1" applyProtection="1">
      <alignment horizontal="center" vertical="center" wrapText="1"/>
      <protection hidden="1"/>
    </xf>
    <xf numFmtId="2" fontId="18" fillId="6" borderId="24" xfId="0" applyNumberFormat="1" applyFont="1" applyFill="1" applyBorder="1" applyAlignment="1" applyProtection="1">
      <alignment horizontal="center" vertical="center" wrapText="1"/>
      <protection hidden="1"/>
    </xf>
    <xf numFmtId="2" fontId="49" fillId="6" borderId="33" xfId="0" applyNumberFormat="1" applyFont="1" applyFill="1" applyBorder="1" applyAlignment="1" applyProtection="1">
      <alignment horizontal="center" vertical="center"/>
      <protection hidden="1"/>
    </xf>
    <xf numFmtId="2" fontId="49" fillId="6" borderId="56" xfId="0" applyNumberFormat="1" applyFont="1" applyFill="1" applyBorder="1" applyAlignment="1" applyProtection="1">
      <alignment horizontal="center" vertical="center"/>
      <protection hidden="1"/>
    </xf>
    <xf numFmtId="2" fontId="50" fillId="3" borderId="61" xfId="0" applyNumberFormat="1" applyFont="1" applyFill="1" applyBorder="1" applyAlignment="1" applyProtection="1">
      <alignment horizontal="center" vertical="center"/>
      <protection hidden="1"/>
    </xf>
    <xf numFmtId="2" fontId="20" fillId="3" borderId="72" xfId="0" applyNumberFormat="1" applyFont="1" applyFill="1" applyBorder="1" applyAlignment="1" applyProtection="1">
      <alignment horizontal="center" vertical="center"/>
      <protection hidden="1"/>
    </xf>
    <xf numFmtId="2" fontId="20" fillId="3" borderId="65" xfId="0" applyNumberFormat="1" applyFont="1" applyFill="1" applyBorder="1" applyAlignment="1" applyProtection="1">
      <alignment horizontal="center" vertical="center"/>
      <protection hidden="1"/>
    </xf>
    <xf numFmtId="2" fontId="18" fillId="6" borderId="5" xfId="0" applyNumberFormat="1" applyFont="1" applyFill="1" applyBorder="1" applyAlignment="1" applyProtection="1">
      <alignment horizontal="center" vertical="center"/>
      <protection hidden="1"/>
    </xf>
    <xf numFmtId="2" fontId="18" fillId="6" borderId="32"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3"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49" fillId="8" borderId="15" xfId="0" applyNumberFormat="1" applyFont="1" applyFill="1" applyBorder="1" applyAlignment="1" applyProtection="1">
      <alignment horizontal="center" vertical="center" wrapText="1"/>
      <protection hidden="1"/>
    </xf>
    <xf numFmtId="2" fontId="49"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3"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protection hidden="1"/>
    </xf>
    <xf numFmtId="0" fontId="45" fillId="0" borderId="0" xfId="0" applyFont="1" applyBorder="1" applyAlignment="1" applyProtection="1">
      <alignment horizontal="center"/>
      <protection hidden="1"/>
    </xf>
    <xf numFmtId="0" fontId="1" fillId="2" borderId="0" xfId="0" applyFont="1" applyFill="1" applyAlignment="1" applyProtection="1">
      <alignment horizontal="justify" vertical="center" wrapText="1"/>
      <protection locked="0" hidden="1"/>
    </xf>
    <xf numFmtId="0" fontId="1" fillId="2" borderId="0" xfId="0" applyFont="1" applyFill="1" applyBorder="1" applyAlignment="1" applyProtection="1">
      <alignment horizontal="center"/>
      <protection hidden="1"/>
    </xf>
    <xf numFmtId="0" fontId="1"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45" fillId="2" borderId="0" xfId="0" applyFont="1" applyFill="1" applyAlignment="1" applyProtection="1">
      <alignment horizontal="center" vertical="center" wrapText="1"/>
      <protection hidden="1"/>
    </xf>
    <xf numFmtId="168" fontId="1" fillId="0" borderId="0" xfId="0" applyNumberFormat="1" applyFont="1" applyAlignment="1" applyProtection="1">
      <alignment horizontal="right" vertical="center"/>
      <protection hidden="1"/>
    </xf>
    <xf numFmtId="186" fontId="8" fillId="2" borderId="41" xfId="0" applyNumberFormat="1" applyFont="1" applyFill="1" applyBorder="1" applyAlignment="1" applyProtection="1">
      <alignment horizontal="center" vertical="center" wrapText="1"/>
      <protection hidden="1"/>
    </xf>
    <xf numFmtId="186" fontId="8" fillId="2" borderId="1"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47" fillId="2" borderId="0" xfId="0" applyFont="1" applyFill="1" applyAlignment="1" applyProtection="1">
      <alignment horizontal="justify" vertical="center" wrapText="1"/>
      <protection hidden="1"/>
    </xf>
    <xf numFmtId="0" fontId="47" fillId="2" borderId="0" xfId="0" applyFont="1" applyFill="1" applyAlignment="1" applyProtection="1">
      <alignment horizontal="justify" vertical="center" wrapText="1"/>
      <protection locked="0" hidden="1"/>
    </xf>
    <xf numFmtId="0" fontId="14" fillId="0" borderId="9" xfId="0" applyFont="1" applyBorder="1" applyAlignment="1" applyProtection="1">
      <alignment horizontal="center" vertical="center"/>
      <protection hidden="1"/>
    </xf>
    <xf numFmtId="0" fontId="14" fillId="0" borderId="73"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45" fillId="2" borderId="0" xfId="0" applyFont="1" applyFill="1" applyBorder="1" applyAlignment="1" applyProtection="1">
      <alignment horizontal="left" vertical="center" wrapText="1"/>
      <protection hidden="1"/>
    </xf>
    <xf numFmtId="2" fontId="45" fillId="2" borderId="0" xfId="0" applyNumberFormat="1" applyFont="1" applyFill="1" applyAlignment="1" applyProtection="1">
      <alignment horizontal="right" vertical="center"/>
      <protection hidden="1"/>
    </xf>
    <xf numFmtId="0" fontId="45" fillId="0" borderId="0" xfId="0" applyFont="1" applyAlignment="1" applyProtection="1">
      <alignment horizontal="left" vertical="center" wrapText="1"/>
      <protection hidden="1"/>
    </xf>
    <xf numFmtId="0" fontId="47" fillId="2" borderId="0" xfId="0" applyFont="1" applyFill="1" applyAlignment="1">
      <alignment horizontal="justify" vertical="center" wrapText="1"/>
    </xf>
    <xf numFmtId="0" fontId="1" fillId="0" borderId="0" xfId="0" applyFont="1" applyAlignment="1" applyProtection="1">
      <alignment horizontal="center"/>
      <protection hidden="1"/>
    </xf>
    <xf numFmtId="186" fontId="8" fillId="2" borderId="7" xfId="0" applyNumberFormat="1" applyFont="1" applyFill="1" applyBorder="1" applyAlignment="1" applyProtection="1">
      <alignment horizontal="center" vertical="center" wrapText="1"/>
      <protection hidden="1"/>
    </xf>
    <xf numFmtId="186" fontId="8" fillId="2" borderId="8" xfId="0" applyNumberFormat="1" applyFont="1" applyFill="1" applyBorder="1" applyAlignment="1" applyProtection="1">
      <alignment horizontal="center" vertical="center" wrapText="1"/>
      <protection hidden="1"/>
    </xf>
    <xf numFmtId="2" fontId="14" fillId="2" borderId="35" xfId="0" applyNumberFormat="1" applyFont="1" applyFill="1" applyBorder="1" applyAlignment="1" applyProtection="1">
      <alignment horizontal="center" vertical="center" wrapText="1"/>
      <protection hidden="1"/>
    </xf>
    <xf numFmtId="14" fontId="1" fillId="2" borderId="0" xfId="0" applyNumberFormat="1" applyFont="1" applyFill="1" applyAlignment="1" applyProtection="1">
      <alignment horizontal="left" vertical="center" wrapText="1"/>
      <protection hidden="1"/>
    </xf>
    <xf numFmtId="0" fontId="14" fillId="2" borderId="9" xfId="0" applyFont="1" applyFill="1" applyBorder="1" applyAlignment="1" applyProtection="1">
      <alignment horizontal="center" vertical="center" wrapText="1"/>
      <protection hidden="1"/>
    </xf>
    <xf numFmtId="0" fontId="14" fillId="2" borderId="73"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left" vertical="center" wrapText="1"/>
      <protection hidden="1"/>
    </xf>
    <xf numFmtId="0" fontId="46" fillId="2" borderId="0" xfId="0" applyFont="1" applyFill="1" applyAlignment="1" applyProtection="1">
      <alignment horizontal="left" vertical="center" wrapText="1"/>
      <protection hidden="1"/>
    </xf>
    <xf numFmtId="0" fontId="45" fillId="2" borderId="14" xfId="0" applyFont="1" applyFill="1" applyBorder="1" applyAlignment="1" applyProtection="1">
      <alignment horizontal="left" vertical="center" wrapText="1"/>
      <protection hidden="1"/>
    </xf>
    <xf numFmtId="0" fontId="45" fillId="2" borderId="15" xfId="0" applyFont="1" applyFill="1" applyBorder="1" applyAlignment="1" applyProtection="1">
      <alignment horizontal="left" vertical="center" wrapText="1"/>
      <protection hidden="1"/>
    </xf>
    <xf numFmtId="0" fontId="45" fillId="2" borderId="16" xfId="0" applyFont="1" applyFill="1" applyBorder="1" applyAlignment="1" applyProtection="1">
      <alignment horizontal="left" vertical="center" wrapText="1"/>
      <protection hidden="1"/>
    </xf>
    <xf numFmtId="0" fontId="45" fillId="2" borderId="21" xfId="0" applyFont="1" applyFill="1" applyBorder="1" applyAlignment="1" applyProtection="1">
      <alignment horizontal="left" vertical="center" wrapText="1"/>
      <protection hidden="1"/>
    </xf>
    <xf numFmtId="0" fontId="45" fillId="2" borderId="40" xfId="0" applyFont="1" applyFill="1" applyBorder="1" applyAlignment="1" applyProtection="1">
      <alignment horizontal="left" vertical="center" wrapText="1"/>
      <protection hidden="1"/>
    </xf>
    <xf numFmtId="0" fontId="45" fillId="2" borderId="6" xfId="0" applyFont="1" applyFill="1" applyBorder="1" applyAlignment="1" applyProtection="1">
      <alignment horizontal="left" vertical="center" wrapText="1"/>
      <protection hidden="1"/>
    </xf>
    <xf numFmtId="2" fontId="1" fillId="2" borderId="14" xfId="0" applyNumberFormat="1" applyFont="1" applyFill="1" applyBorder="1" applyAlignment="1" applyProtection="1">
      <alignment horizontal="left" vertical="center" wrapText="1"/>
      <protection hidden="1"/>
    </xf>
    <xf numFmtId="2" fontId="1" fillId="2" borderId="16" xfId="0" applyNumberFormat="1" applyFont="1" applyFill="1" applyBorder="1" applyAlignment="1" applyProtection="1">
      <alignment horizontal="left" vertical="center" wrapText="1"/>
      <protection hidden="1"/>
    </xf>
    <xf numFmtId="0" fontId="47" fillId="2" borderId="14" xfId="0" applyFont="1" applyFill="1" applyBorder="1" applyAlignment="1" applyProtection="1">
      <alignment horizontal="left" vertical="center" wrapText="1"/>
      <protection hidden="1"/>
    </xf>
    <xf numFmtId="0" fontId="47" fillId="2" borderId="16" xfId="0" applyFont="1" applyFill="1" applyBorder="1" applyAlignment="1" applyProtection="1">
      <alignment horizontal="left" vertical="center" wrapText="1"/>
      <protection hidden="1"/>
    </xf>
    <xf numFmtId="1" fontId="1" fillId="2" borderId="14" xfId="0" applyNumberFormat="1" applyFont="1" applyFill="1" applyBorder="1" applyAlignment="1" applyProtection="1">
      <alignment horizontal="left" vertical="center" wrapText="1"/>
      <protection hidden="1"/>
    </xf>
    <xf numFmtId="1" fontId="1" fillId="2" borderId="16" xfId="0" applyNumberFormat="1" applyFont="1" applyFill="1" applyBorder="1" applyAlignment="1" applyProtection="1">
      <alignment horizontal="left" vertical="center" wrapText="1"/>
      <protection hidden="1"/>
    </xf>
    <xf numFmtId="168" fontId="1" fillId="2" borderId="14" xfId="0" applyNumberFormat="1" applyFont="1" applyFill="1" applyBorder="1" applyAlignment="1" applyProtection="1">
      <alignment horizontal="left" vertical="center" wrapText="1"/>
      <protection hidden="1"/>
    </xf>
    <xf numFmtId="168" fontId="1" fillId="2" borderId="16" xfId="0" applyNumberFormat="1" applyFont="1" applyFill="1" applyBorder="1" applyAlignment="1" applyProtection="1">
      <alignment horizontal="left" vertical="center" wrapText="1"/>
      <protection hidden="1"/>
    </xf>
    <xf numFmtId="0" fontId="45" fillId="0" borderId="22"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2" fontId="45" fillId="2" borderId="14" xfId="0" applyNumberFormat="1" applyFont="1" applyFill="1" applyBorder="1" applyAlignment="1" applyProtection="1">
      <alignment horizontal="center" vertical="center" wrapText="1"/>
      <protection hidden="1"/>
    </xf>
    <xf numFmtId="2" fontId="45" fillId="2" borderId="15" xfId="0" applyNumberFormat="1" applyFont="1" applyFill="1" applyBorder="1" applyAlignment="1" applyProtection="1">
      <alignment horizontal="center" vertical="center" wrapText="1"/>
      <protection hidden="1"/>
    </xf>
    <xf numFmtId="2" fontId="45" fillId="2" borderId="16"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vertical="center" wrapText="1"/>
      <protection hidden="1"/>
    </xf>
    <xf numFmtId="0" fontId="1" fillId="2" borderId="14"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2" fontId="45" fillId="0" borderId="14"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1" fontId="1" fillId="0" borderId="61" xfId="0" applyNumberFormat="1" applyFont="1" applyBorder="1" applyAlignment="1" applyProtection="1">
      <alignment horizontal="center" vertical="center" wrapText="1"/>
      <protection hidden="1"/>
    </xf>
    <xf numFmtId="1" fontId="1" fillId="0" borderId="64"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4" fontId="1" fillId="2" borderId="0" xfId="0" applyNumberFormat="1" applyFont="1" applyFill="1" applyBorder="1" applyAlignment="1" applyProtection="1">
      <alignment horizontal="left" vertical="center" wrapText="1"/>
      <protection hidden="1"/>
    </xf>
    <xf numFmtId="1" fontId="1" fillId="0" borderId="62" xfId="0" applyNumberFormat="1" applyFont="1" applyBorder="1" applyAlignment="1" applyProtection="1">
      <alignment horizontal="center" vertical="center" wrapText="1"/>
      <protection hidden="1"/>
    </xf>
    <xf numFmtId="1" fontId="1" fillId="0" borderId="3"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2" fontId="1" fillId="0" borderId="0" xfId="0" applyNumberFormat="1" applyFont="1" applyBorder="1" applyAlignment="1" applyProtection="1">
      <alignment horizontal="left" vertical="center" wrapText="1"/>
      <protection hidden="1"/>
    </xf>
    <xf numFmtId="14" fontId="1" fillId="2" borderId="0" xfId="0" applyNumberFormat="1" applyFont="1" applyFill="1" applyBorder="1" applyAlignment="1" applyProtection="1">
      <alignment horizontal="justify" vertical="center" wrapText="1"/>
      <protection hidden="1"/>
    </xf>
    <xf numFmtId="0" fontId="1" fillId="2" borderId="0" xfId="0" applyFont="1" applyFill="1" applyBorder="1" applyAlignment="1" applyProtection="1">
      <alignment horizontal="justify" vertical="center" wrapText="1"/>
      <protection hidden="1"/>
    </xf>
    <xf numFmtId="0" fontId="1" fillId="0" borderId="0" xfId="0" applyFont="1" applyBorder="1" applyAlignment="1" applyProtection="1">
      <alignment horizontal="left" vertical="center" wrapText="1"/>
      <protection hidden="1"/>
    </xf>
    <xf numFmtId="0" fontId="47" fillId="0" borderId="0" xfId="0" applyFont="1" applyBorder="1" applyAlignment="1" applyProtection="1">
      <alignment horizontal="justify" vertical="center" wrapText="1"/>
      <protection locked="0" hidden="1"/>
    </xf>
    <xf numFmtId="1" fontId="8" fillId="0" borderId="62" xfId="0" applyNumberFormat="1" applyFont="1" applyBorder="1" applyAlignment="1" applyProtection="1">
      <alignment horizontal="center" vertical="center" wrapText="1"/>
      <protection hidden="1"/>
    </xf>
    <xf numFmtId="1" fontId="8" fillId="0" borderId="3" xfId="0" applyNumberFormat="1" applyFont="1" applyBorder="1" applyAlignment="1" applyProtection="1">
      <alignment horizontal="center" vertical="center" wrapText="1"/>
      <protection hidden="1"/>
    </xf>
    <xf numFmtId="1" fontId="1" fillId="0" borderId="63" xfId="0" applyNumberFormat="1" applyFont="1" applyBorder="1" applyAlignment="1" applyProtection="1">
      <alignment horizontal="center" vertical="center" wrapText="1"/>
      <protection hidden="1"/>
    </xf>
    <xf numFmtId="1" fontId="1"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2" fontId="14" fillId="0" borderId="16" xfId="0" applyNumberFormat="1"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1" fontId="8" fillId="0" borderId="61" xfId="0" applyNumberFormat="1" applyFont="1" applyBorder="1" applyAlignment="1" applyProtection="1">
      <alignment horizontal="center" vertical="center" wrapText="1"/>
      <protection hidden="1"/>
    </xf>
    <xf numFmtId="1" fontId="8" fillId="0" borderId="64" xfId="0" applyNumberFormat="1"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169" fontId="5" fillId="2" borderId="14" xfId="0" applyNumberFormat="1" applyFont="1" applyFill="1" applyBorder="1" applyAlignment="1" applyProtection="1">
      <alignment horizontal="center" vertical="center" wrapText="1"/>
      <protection hidden="1"/>
    </xf>
    <xf numFmtId="169" fontId="5" fillId="2" borderId="73"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64"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 fontId="8" fillId="0" borderId="63" xfId="0" applyNumberFormat="1" applyFont="1" applyBorder="1" applyAlignment="1" applyProtection="1">
      <alignment horizontal="center" vertical="center" wrapText="1"/>
      <protection hidden="1"/>
    </xf>
    <xf numFmtId="1" fontId="8" fillId="0" borderId="13" xfId="0" applyNumberFormat="1" applyFont="1" applyBorder="1" applyAlignment="1" applyProtection="1">
      <alignment horizontal="center" vertical="center" wrapText="1"/>
      <protection hidden="1"/>
    </xf>
    <xf numFmtId="0" fontId="8" fillId="2" borderId="43" xfId="0" applyNumberFormat="1" applyFont="1" applyFill="1" applyBorder="1" applyAlignment="1" applyProtection="1">
      <alignment horizontal="center" vertical="center" wrapText="1"/>
      <protection hidden="1"/>
    </xf>
    <xf numFmtId="0" fontId="8"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8" fillId="2" borderId="17" xfId="0" applyNumberFormat="1" applyFont="1" applyFill="1" applyBorder="1" applyAlignment="1" applyProtection="1">
      <alignment horizontal="center" vertical="center" wrapText="1"/>
      <protection hidden="1"/>
    </xf>
    <xf numFmtId="0" fontId="8" fillId="2" borderId="18" xfId="0" applyNumberFormat="1" applyFont="1" applyFill="1" applyBorder="1" applyAlignment="1" applyProtection="1">
      <alignment horizontal="center" vertical="center" wrapText="1"/>
      <protection hidden="1"/>
    </xf>
    <xf numFmtId="186" fontId="8" fillId="2" borderId="62" xfId="0" applyNumberFormat="1" applyFont="1" applyFill="1" applyBorder="1" applyAlignment="1" applyProtection="1">
      <alignment horizontal="center" vertical="center" wrapText="1"/>
      <protection hidden="1"/>
    </xf>
    <xf numFmtId="186" fontId="8" fillId="2" borderId="3" xfId="0" applyNumberFormat="1" applyFont="1" applyFill="1" applyBorder="1" applyAlignment="1" applyProtection="1">
      <alignment horizontal="center" vertical="center" wrapText="1"/>
      <protection hidden="1"/>
    </xf>
    <xf numFmtId="186" fontId="8" fillId="2" borderId="63" xfId="0" applyNumberFormat="1" applyFont="1" applyFill="1" applyBorder="1" applyAlignment="1" applyProtection="1">
      <alignment horizontal="center" vertical="center" wrapText="1"/>
      <protection hidden="1"/>
    </xf>
    <xf numFmtId="186" fontId="8" fillId="2" borderId="13"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17" fillId="0" borderId="3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4" borderId="32" xfId="0" applyNumberFormat="1" applyFill="1" applyBorder="1" applyAlignment="1">
      <alignment horizontal="center" vertical="center"/>
    </xf>
    <xf numFmtId="170" fontId="0" fillId="24" borderId="26" xfId="0" applyNumberFormat="1" applyFill="1" applyBorder="1" applyAlignment="1">
      <alignment horizontal="center" vertical="center"/>
    </xf>
    <xf numFmtId="170" fontId="0" fillId="24" borderId="49" xfId="0" applyNumberFormat="1" applyFill="1" applyBorder="1" applyAlignment="1">
      <alignment horizontal="center" vertical="center"/>
    </xf>
    <xf numFmtId="0" fontId="14" fillId="24" borderId="14"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0" fillId="0" borderId="1" xfId="0" applyBorder="1" applyAlignment="1">
      <alignment horizontal="center"/>
    </xf>
    <xf numFmtId="0" fontId="70" fillId="0" borderId="1" xfId="0" applyFont="1" applyBorder="1" applyAlignment="1">
      <alignment horizontal="center" vertical="center" wrapText="1"/>
    </xf>
    <xf numFmtId="0" fontId="14" fillId="24" borderId="14" xfId="0" applyFont="1" applyFill="1" applyBorder="1" applyAlignment="1">
      <alignment horizontal="center"/>
    </xf>
    <xf numFmtId="0" fontId="14" fillId="24" borderId="15" xfId="0" applyFont="1" applyFill="1" applyBorder="1" applyAlignment="1">
      <alignment horizontal="center"/>
    </xf>
    <xf numFmtId="0" fontId="14" fillId="24" borderId="16" xfId="0" applyFont="1" applyFill="1" applyBorder="1" applyAlignment="1">
      <alignment horizontal="center"/>
    </xf>
    <xf numFmtId="0" fontId="14" fillId="0" borderId="22" xfId="0" applyFont="1" applyBorder="1" applyAlignment="1">
      <alignment horizontal="center"/>
    </xf>
    <xf numFmtId="0" fontId="14" fillId="0" borderId="31" xfId="0" applyFont="1" applyBorder="1" applyAlignment="1">
      <alignment horizontal="center"/>
    </xf>
    <xf numFmtId="0" fontId="14" fillId="0" borderId="23" xfId="0" applyFont="1" applyBorder="1" applyAlignment="1">
      <alignment horizont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7" fillId="0" borderId="32" xfId="0" applyFont="1" applyBorder="1" applyAlignment="1">
      <alignment horizontal="center"/>
    </xf>
    <xf numFmtId="0" fontId="7" fillId="0" borderId="26" xfId="0" applyFont="1" applyBorder="1" applyAlignment="1">
      <alignment horizontal="center"/>
    </xf>
    <xf numFmtId="0" fontId="7" fillId="0" borderId="20" xfId="0" applyFont="1" applyBorder="1" applyAlignment="1">
      <alignment horizontal="center"/>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0" xfId="0" applyFont="1" applyBorder="1" applyAlignment="1">
      <alignment horizontal="center" vertical="center" wrapText="1"/>
    </xf>
    <xf numFmtId="169" fontId="5" fillId="24" borderId="14" xfId="0" applyNumberFormat="1" applyFont="1" applyFill="1" applyBorder="1" applyAlignment="1" applyProtection="1">
      <alignment horizontal="center" vertical="center" wrapText="1"/>
      <protection hidden="1"/>
    </xf>
    <xf numFmtId="169" fontId="5" fillId="24" borderId="73" xfId="0" applyNumberFormat="1" applyFont="1" applyFill="1" applyBorder="1" applyAlignment="1" applyProtection="1">
      <alignment horizontal="center" vertical="center" wrapText="1"/>
      <protection hidden="1"/>
    </xf>
    <xf numFmtId="168" fontId="45" fillId="0" borderId="22"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6" fillId="8" borderId="24"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7" fillId="0" borderId="1" xfId="0" applyFont="1" applyBorder="1" applyAlignment="1">
      <alignment horizontal="center"/>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0" fontId="30" fillId="0" borderId="0" xfId="0" applyFont="1" applyAlignment="1" applyProtection="1">
      <alignment horizontal="center"/>
      <protection hidden="1"/>
    </xf>
    <xf numFmtId="0" fontId="30" fillId="0" borderId="0" xfId="0" applyFont="1" applyBorder="1" applyAlignment="1" applyProtection="1">
      <alignment horizontal="center"/>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left" vertical="center"/>
      <protection hidden="1"/>
    </xf>
    <xf numFmtId="0" fontId="27" fillId="2" borderId="0" xfId="0" applyFont="1" applyFill="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justify" wrapText="1" readingOrder="1"/>
      <protection hidden="1"/>
    </xf>
    <xf numFmtId="168"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2" borderId="0" xfId="0" applyFont="1" applyFill="1" applyBorder="1" applyAlignment="1" applyProtection="1">
      <alignment horizontal="right" vertical="center" wrapText="1"/>
      <protection hidden="1"/>
    </xf>
    <xf numFmtId="190" fontId="30" fillId="2" borderId="0" xfId="0" applyNumberFormat="1" applyFont="1" applyFill="1" applyBorder="1" applyAlignment="1" applyProtection="1">
      <alignment horizontal="left" vertical="center" wrapText="1"/>
      <protection hidden="1"/>
    </xf>
    <xf numFmtId="189"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7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88" fontId="30" fillId="2" borderId="0" xfId="0" applyNumberFormat="1" applyFont="1" applyFill="1" applyBorder="1" applyAlignment="1" applyProtection="1">
      <alignment horizontal="left" vertical="center" wrapText="1"/>
      <protection hidden="1"/>
    </xf>
    <xf numFmtId="14" fontId="30" fillId="2" borderId="0" xfId="0" applyNumberFormat="1" applyFont="1" applyFill="1" applyAlignment="1" applyProtection="1">
      <alignment horizontal="left" vertical="center" wrapText="1"/>
      <protection hidden="1"/>
    </xf>
    <xf numFmtId="14" fontId="30" fillId="0" borderId="0" xfId="0" applyNumberFormat="1" applyFont="1" applyAlignment="1" applyProtection="1">
      <alignment horizontal="center" vertical="center" wrapText="1"/>
      <protection hidden="1"/>
    </xf>
    <xf numFmtId="0" fontId="27" fillId="0" borderId="0" xfId="0" applyFont="1" applyBorder="1" applyAlignment="1" applyProtection="1">
      <alignment horizontal="left" vertical="center" wrapText="1"/>
      <protection hidden="1"/>
    </xf>
    <xf numFmtId="2" fontId="30" fillId="0" borderId="0" xfId="0" applyNumberFormat="1" applyFont="1" applyBorder="1" applyAlignment="1" applyProtection="1">
      <alignment horizontal="left" vertical="center" wrapText="1"/>
      <protection hidden="1"/>
    </xf>
    <xf numFmtId="0" fontId="30"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0" fillId="0" borderId="0" xfId="0" applyFont="1" applyBorder="1" applyAlignment="1" applyProtection="1">
      <alignment vertical="center" wrapText="1"/>
      <protection locked="0" hidden="1"/>
    </xf>
    <xf numFmtId="0" fontId="27"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center" vertical="center" wrapText="1"/>
      <protection hidden="1"/>
    </xf>
    <xf numFmtId="0" fontId="30" fillId="2" borderId="0" xfId="0" applyFont="1" applyFill="1" applyProtection="1">
      <protection hidden="1"/>
    </xf>
    <xf numFmtId="2" fontId="27" fillId="2" borderId="35" xfId="0" applyNumberFormat="1" applyFont="1" applyFill="1" applyBorder="1" applyAlignment="1" applyProtection="1">
      <alignment horizontal="center" vertical="center" wrapText="1"/>
      <protection hidden="1"/>
    </xf>
    <xf numFmtId="2" fontId="27" fillId="2" borderId="14" xfId="0" applyNumberFormat="1" applyFont="1" applyFill="1" applyBorder="1" applyAlignment="1" applyProtection="1">
      <alignment horizontal="center" vertical="center" wrapText="1"/>
      <protection hidden="1"/>
    </xf>
    <xf numFmtId="2" fontId="27" fillId="2" borderId="15" xfId="0" applyNumberFormat="1" applyFont="1" applyFill="1" applyBorder="1" applyAlignment="1" applyProtection="1">
      <alignment horizontal="center" vertical="center" wrapText="1"/>
      <protection hidden="1"/>
    </xf>
    <xf numFmtId="2" fontId="27" fillId="2" borderId="16" xfId="0" applyNumberFormat="1" applyFont="1" applyFill="1" applyBorder="1" applyAlignment="1" applyProtection="1">
      <alignment horizontal="center" vertical="center" wrapText="1"/>
      <protection hidden="1"/>
    </xf>
    <xf numFmtId="171" fontId="27" fillId="2" borderId="14" xfId="0" applyNumberFormat="1" applyFont="1" applyFill="1" applyBorder="1" applyAlignment="1" applyProtection="1">
      <alignment horizontal="center" vertical="center" wrapText="1"/>
      <protection hidden="1"/>
    </xf>
    <xf numFmtId="171" fontId="27" fillId="2" borderId="9" xfId="0" applyNumberFormat="1" applyFont="1" applyFill="1" applyBorder="1" applyAlignment="1" applyProtection="1">
      <alignment horizontal="center" vertical="center"/>
      <protection hidden="1"/>
    </xf>
    <xf numFmtId="171" fontId="27" fillId="2" borderId="11" xfId="0" applyNumberFormat="1" applyFont="1" applyFill="1" applyBorder="1" applyAlignment="1" applyProtection="1">
      <alignment horizontal="center" vertical="center" wrapText="1"/>
      <protection hidden="1"/>
    </xf>
    <xf numFmtId="171" fontId="27" fillId="2" borderId="21" xfId="0" applyNumberFormat="1" applyFont="1" applyFill="1" applyBorder="1" applyAlignment="1" applyProtection="1">
      <alignment horizontal="center" vertical="center" wrapText="1"/>
      <protection hidden="1"/>
    </xf>
    <xf numFmtId="171" fontId="27" fillId="2" borderId="35" xfId="0" applyNumberFormat="1" applyFont="1" applyFill="1" applyBorder="1" applyAlignment="1" applyProtection="1">
      <alignment horizontal="center" vertical="center" wrapText="1"/>
      <protection hidden="1"/>
    </xf>
    <xf numFmtId="0" fontId="71"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30" fillId="2" borderId="0" xfId="0" applyFont="1" applyFill="1" applyAlignment="1" applyProtection="1">
      <alignment horizontal="justify" vertical="center" wrapText="1"/>
      <protection locked="0" hidden="1"/>
    </xf>
    <xf numFmtId="0" fontId="30" fillId="0" borderId="0" xfId="0" applyFont="1" applyFill="1" applyAlignment="1" applyProtection="1">
      <alignment horizontal="left" vertical="center" wrapText="1"/>
      <protection hidden="1"/>
    </xf>
    <xf numFmtId="0" fontId="27" fillId="2" borderId="14" xfId="0" applyFont="1" applyFill="1" applyBorder="1" applyAlignment="1" applyProtection="1">
      <alignment horizontal="left" vertical="center" wrapText="1"/>
      <protection hidden="1"/>
    </xf>
    <xf numFmtId="0" fontId="27" fillId="2" borderId="15" xfId="0" applyFont="1" applyFill="1" applyBorder="1" applyAlignment="1" applyProtection="1">
      <alignment horizontal="left" vertical="center" wrapText="1"/>
      <protection hidden="1"/>
    </xf>
    <xf numFmtId="0" fontId="27" fillId="2" borderId="16" xfId="0" applyFont="1" applyFill="1" applyBorder="1" applyAlignment="1" applyProtection="1">
      <alignment horizontal="left" vertical="center" wrapText="1"/>
      <protection hidden="1"/>
    </xf>
    <xf numFmtId="2" fontId="30" fillId="2" borderId="14" xfId="0" applyNumberFormat="1" applyFont="1" applyFill="1" applyBorder="1" applyAlignment="1" applyProtection="1">
      <alignment horizontal="left" vertical="center" wrapText="1"/>
      <protection hidden="1"/>
    </xf>
    <xf numFmtId="2" fontId="30" fillId="2" borderId="16" xfId="0" applyNumberFormat="1" applyFont="1" applyFill="1" applyBorder="1" applyAlignment="1" applyProtection="1">
      <alignment horizontal="left" vertical="center" wrapText="1"/>
      <protection hidden="1"/>
    </xf>
    <xf numFmtId="0" fontId="30" fillId="2" borderId="14" xfId="0" applyFont="1" applyFill="1" applyBorder="1" applyAlignment="1" applyProtection="1">
      <alignment horizontal="left" vertical="center" wrapText="1"/>
      <protection hidden="1"/>
    </xf>
    <xf numFmtId="0" fontId="30" fillId="2" borderId="16" xfId="0" applyFont="1" applyFill="1" applyBorder="1" applyAlignment="1" applyProtection="1">
      <alignment horizontal="left" vertical="center" wrapText="1"/>
      <protection hidden="1"/>
    </xf>
    <xf numFmtId="1" fontId="30" fillId="2" borderId="14" xfId="0" applyNumberFormat="1" applyFont="1" applyFill="1" applyBorder="1" applyAlignment="1" applyProtection="1">
      <alignment horizontal="left" vertical="center" wrapText="1"/>
      <protection hidden="1"/>
    </xf>
    <xf numFmtId="1" fontId="30" fillId="2" borderId="16" xfId="0" applyNumberFormat="1" applyFont="1" applyFill="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40"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168" fontId="30" fillId="2" borderId="14" xfId="0" applyNumberFormat="1" applyFont="1" applyFill="1" applyBorder="1" applyAlignment="1" applyProtection="1">
      <alignment horizontal="left" vertical="center" wrapText="1"/>
      <protection hidden="1"/>
    </xf>
    <xf numFmtId="168" fontId="30" fillId="2" borderId="16" xfId="0" applyNumberFormat="1"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0" fontId="27" fillId="0" borderId="0" xfId="0" applyFont="1" applyAlignment="1" applyProtection="1">
      <alignment horizontal="left" vertical="center" wrapText="1"/>
      <protection hidden="1"/>
    </xf>
    <xf numFmtId="0" fontId="27" fillId="0" borderId="0" xfId="0" applyFont="1" applyFill="1" applyAlignment="1" applyProtection="1">
      <alignment horizontal="left" vertical="center" wrapText="1"/>
      <protection hidden="1"/>
    </xf>
    <xf numFmtId="0" fontId="27" fillId="0" borderId="22"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2" fontId="27" fillId="0" borderId="14"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187" fontId="9" fillId="0" borderId="16"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2" fontId="27" fillId="0" borderId="23" xfId="0" applyNumberFormat="1"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1" fontId="30" fillId="0" borderId="61" xfId="0" applyNumberFormat="1" applyFont="1" applyBorder="1" applyAlignment="1" applyProtection="1">
      <alignment horizontal="center" vertical="center" wrapText="1"/>
      <protection hidden="1"/>
    </xf>
    <xf numFmtId="1" fontId="30" fillId="0" borderId="64" xfId="0" applyNumberFormat="1" applyFont="1" applyBorder="1" applyAlignment="1" applyProtection="1">
      <alignment horizontal="center" vertical="center" wrapText="1"/>
      <protection hidden="1"/>
    </xf>
    <xf numFmtId="186" fontId="30" fillId="0" borderId="5" xfId="0" applyNumberFormat="1" applyFont="1" applyBorder="1" applyAlignment="1" applyProtection="1">
      <alignment horizontal="center" vertical="center" wrapText="1"/>
      <protection hidden="1"/>
    </xf>
    <xf numFmtId="171" fontId="30" fillId="0" borderId="39" xfId="0" applyNumberFormat="1" applyFont="1" applyBorder="1" applyAlignment="1" applyProtection="1">
      <alignment horizontal="center" vertical="center" wrapText="1"/>
      <protection hidden="1"/>
    </xf>
    <xf numFmtId="1" fontId="30" fillId="0" borderId="62" xfId="0" applyNumberFormat="1" applyFont="1" applyBorder="1" applyAlignment="1" applyProtection="1">
      <alignment horizontal="center" vertical="center" wrapText="1"/>
      <protection hidden="1"/>
    </xf>
    <xf numFmtId="1" fontId="30" fillId="0" borderId="3" xfId="0" applyNumberFormat="1" applyFont="1" applyBorder="1" applyAlignment="1" applyProtection="1">
      <alignment horizontal="center" vertical="center" wrapText="1"/>
      <protection hidden="1"/>
    </xf>
    <xf numFmtId="186" fontId="30" fillId="0" borderId="20" xfId="0" applyNumberFormat="1" applyFont="1" applyBorder="1" applyAlignment="1" applyProtection="1">
      <alignment horizontal="center" vertical="center" wrapText="1"/>
      <protection hidden="1"/>
    </xf>
    <xf numFmtId="171" fontId="30" fillId="0" borderId="42" xfId="0" applyNumberFormat="1" applyFont="1" applyBorder="1" applyAlignment="1" applyProtection="1">
      <alignment horizontal="center" vertical="center" wrapText="1"/>
      <protection hidden="1"/>
    </xf>
    <xf numFmtId="186" fontId="30" fillId="0" borderId="1" xfId="0" applyNumberFormat="1" applyFont="1" applyBorder="1" applyAlignment="1" applyProtection="1">
      <alignment horizontal="center" vertical="center" wrapText="1"/>
      <protection hidden="1"/>
    </xf>
    <xf numFmtId="1" fontId="30" fillId="0" borderId="63" xfId="0" applyNumberFormat="1" applyFont="1" applyBorder="1" applyAlignment="1" applyProtection="1">
      <alignment horizontal="center" vertical="center" wrapText="1"/>
      <protection hidden="1"/>
    </xf>
    <xf numFmtId="1" fontId="30" fillId="0" borderId="13" xfId="0" applyNumberFormat="1" applyFont="1" applyBorder="1" applyAlignment="1" applyProtection="1">
      <alignment horizontal="center" vertical="center" wrapText="1"/>
      <protection hidden="1"/>
    </xf>
    <xf numFmtId="171" fontId="30" fillId="0" borderId="46" xfId="0" applyNumberFormat="1" applyFont="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171" fontId="27" fillId="2" borderId="0" xfId="0" applyNumberFormat="1" applyFont="1" applyFill="1" applyBorder="1" applyAlignment="1" applyProtection="1">
      <alignment horizontal="center" vertical="center" wrapText="1"/>
      <protection hidden="1"/>
    </xf>
    <xf numFmtId="0" fontId="30" fillId="2" borderId="0" xfId="0" applyFont="1" applyFill="1" applyAlignment="1" applyProtection="1">
      <alignment vertical="justify" wrapText="1"/>
      <protection locked="0"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left" vertical="justify" wrapTex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187" fontId="9" fillId="2" borderId="16" xfId="0" applyNumberFormat="1" applyFont="1" applyFill="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64" xfId="0" applyNumberFormat="1" applyFont="1" applyBorder="1" applyAlignment="1" applyProtection="1">
      <alignment horizontal="center" vertical="center" wrapText="1"/>
      <protection hidden="1"/>
    </xf>
    <xf numFmtId="186" fontId="10" fillId="0" borderId="5" xfId="0" applyNumberFormat="1" applyFont="1" applyBorder="1" applyAlignment="1" applyProtection="1">
      <alignment horizontal="center" vertical="center" wrapText="1"/>
      <protection hidden="1"/>
    </xf>
    <xf numFmtId="186" fontId="10" fillId="0" borderId="39"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186" fontId="10" fillId="0" borderId="1" xfId="0" applyNumberFormat="1" applyFont="1" applyBorder="1" applyAlignment="1" applyProtection="1">
      <alignment horizontal="center" vertical="center" wrapText="1"/>
      <protection hidden="1"/>
    </xf>
    <xf numFmtId="186" fontId="10" fillId="0" borderId="42" xfId="0" applyNumberFormat="1" applyFont="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186" fontId="10" fillId="0" borderId="8" xfId="0" applyNumberFormat="1" applyFont="1" applyBorder="1" applyAlignment="1" applyProtection="1">
      <alignment horizontal="center" vertical="center" wrapText="1"/>
      <protection hidden="1"/>
    </xf>
    <xf numFmtId="186" fontId="10" fillId="0" borderId="12"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2" fontId="9" fillId="2" borderId="35" xfId="0" applyNumberFormat="1" applyFont="1" applyFill="1" applyBorder="1" applyAlignment="1" applyProtection="1">
      <alignment horizontal="center" vertical="center" wrapText="1"/>
      <protection hidden="1"/>
    </xf>
    <xf numFmtId="2" fontId="9" fillId="2" borderId="35" xfId="0" applyNumberFormat="1" applyFont="1" applyFill="1" applyBorder="1" applyAlignment="1" applyProtection="1">
      <alignment horizontal="center" vertical="center" wrapText="1"/>
      <protection hidden="1"/>
    </xf>
    <xf numFmtId="0" fontId="10" fillId="2" borderId="43" xfId="0" applyNumberFormat="1" applyFont="1" applyFill="1" applyBorder="1" applyAlignment="1" applyProtection="1">
      <alignment horizontal="center" vertical="center" wrapText="1"/>
      <protection hidden="1"/>
    </xf>
    <xf numFmtId="0" fontId="10" fillId="2" borderId="20" xfId="0" applyNumberFormat="1" applyFont="1" applyFill="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4" xfId="0" applyNumberFormat="1" applyFont="1" applyFill="1" applyBorder="1" applyAlignment="1" applyProtection="1">
      <alignment horizontal="center" vertical="center"/>
      <protection hidden="1"/>
    </xf>
    <xf numFmtId="186" fontId="10" fillId="2" borderId="41" xfId="0" applyNumberFormat="1" applyFont="1" applyFill="1" applyBorder="1" applyAlignment="1" applyProtection="1">
      <alignment horizontal="center" vertical="center" wrapText="1"/>
      <protection hidden="1"/>
    </xf>
    <xf numFmtId="186" fontId="10" fillId="2" borderId="1" xfId="0" applyNumberFormat="1" applyFont="1" applyFill="1" applyBorder="1" applyAlignment="1" applyProtection="1">
      <alignment horizontal="center" vertical="center" wrapText="1"/>
      <protection hidden="1"/>
    </xf>
    <xf numFmtId="164" fontId="10" fillId="2" borderId="42" xfId="0" applyNumberFormat="1" applyFont="1" applyFill="1" applyBorder="1" applyAlignment="1" applyProtection="1">
      <alignment horizontal="center" vertical="center"/>
      <protection hidden="1"/>
    </xf>
    <xf numFmtId="2" fontId="10" fillId="2" borderId="42" xfId="0" applyNumberFormat="1" applyFont="1" applyFill="1" applyBorder="1" applyAlignment="1" applyProtection="1">
      <alignment horizontal="center" vertical="center"/>
      <protection hidden="1"/>
    </xf>
    <xf numFmtId="186" fontId="10" fillId="2" borderId="7" xfId="0" applyNumberFormat="1" applyFont="1" applyFill="1" applyBorder="1" applyAlignment="1" applyProtection="1">
      <alignment horizontal="center" vertical="center" wrapText="1"/>
      <protection hidden="1"/>
    </xf>
    <xf numFmtId="186" fontId="10" fillId="2" borderId="8" xfId="0" applyNumberFormat="1" applyFont="1" applyFill="1" applyBorder="1" applyAlignment="1" applyProtection="1">
      <alignment horizontal="center" vertical="center" wrapText="1"/>
      <protection hidden="1"/>
    </xf>
    <xf numFmtId="2" fontId="10" fillId="2" borderId="12" xfId="0" applyNumberFormat="1" applyFont="1" applyFill="1" applyBorder="1" applyAlignment="1" applyProtection="1">
      <alignment horizontal="center" vertical="center"/>
      <protection hidden="1"/>
    </xf>
    <xf numFmtId="1" fontId="30" fillId="0" borderId="0" xfId="0" applyNumberFormat="1" applyFont="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30" fillId="0" borderId="0" xfId="0" applyNumberFormat="1" applyFont="1" applyBorder="1" applyAlignment="1" applyProtection="1">
      <alignment horizontal="center" vertical="center" wrapText="1"/>
      <protection hidden="1"/>
    </xf>
    <xf numFmtId="171" fontId="30" fillId="0" borderId="0" xfId="0" applyNumberFormat="1" applyFont="1" applyBorder="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6" fontId="10" fillId="2"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169" fontId="30" fillId="0" borderId="0" xfId="0" applyNumberFormat="1" applyFont="1" applyBorder="1" applyAlignment="1" applyProtection="1">
      <alignment horizontal="center" vertical="center" wrapText="1"/>
      <protection hidden="1"/>
    </xf>
    <xf numFmtId="2" fontId="30" fillId="0" borderId="0" xfId="0" applyNumberFormat="1" applyFont="1" applyBorder="1" applyAlignment="1" applyProtection="1">
      <alignment horizontal="center" vertical="center" wrapText="1"/>
      <protection hidden="1"/>
    </xf>
    <xf numFmtId="169" fontId="17" fillId="2" borderId="14" xfId="0" applyNumberFormat="1" applyFont="1" applyFill="1" applyBorder="1" applyAlignment="1" applyProtection="1">
      <alignment horizontal="center" vertical="center" wrapText="1"/>
      <protection hidden="1"/>
    </xf>
    <xf numFmtId="169" fontId="17" fillId="2" borderId="73" xfId="0" applyNumberFormat="1" applyFont="1" applyFill="1" applyBorder="1" applyAlignment="1" applyProtection="1">
      <alignment horizontal="center" vertical="center" wrapText="1"/>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2" fontId="9" fillId="0" borderId="0" xfId="0" applyNumberFormat="1" applyFont="1" applyBorder="1" applyAlignment="1" applyProtection="1">
      <alignment vertical="center" wrapText="1"/>
      <protection hidden="1"/>
    </xf>
    <xf numFmtId="169" fontId="29" fillId="2" borderId="61" xfId="0" applyNumberFormat="1" applyFont="1" applyFill="1" applyBorder="1" applyAlignment="1" applyProtection="1">
      <alignment horizontal="center" vertical="center" wrapText="1"/>
      <protection hidden="1"/>
    </xf>
    <xf numFmtId="169" fontId="29" fillId="2" borderId="64" xfId="0" applyNumberFormat="1" applyFont="1" applyFill="1" applyBorder="1" applyAlignment="1" applyProtection="1">
      <alignment horizontal="center" vertical="center" wrapText="1"/>
      <protection hidden="1"/>
    </xf>
    <xf numFmtId="2" fontId="29" fillId="2" borderId="20" xfId="0" applyNumberFormat="1" applyFont="1" applyFill="1" applyBorder="1" applyAlignment="1" applyProtection="1">
      <alignment horizontal="center" vertical="center" wrapText="1"/>
      <protection hidden="1"/>
    </xf>
    <xf numFmtId="1" fontId="29" fillId="2" borderId="44" xfId="0" applyNumberFormat="1" applyFont="1" applyFill="1" applyBorder="1" applyAlignment="1" applyProtection="1">
      <alignment horizontal="center" vertical="center" wrapText="1"/>
      <protection hidden="1"/>
    </xf>
    <xf numFmtId="169" fontId="29" fillId="2" borderId="63" xfId="0" applyNumberFormat="1" applyFont="1" applyFill="1" applyBorder="1" applyAlignment="1" applyProtection="1">
      <alignment horizontal="center" vertical="center" wrapText="1"/>
      <protection hidden="1"/>
    </xf>
    <xf numFmtId="169" fontId="29" fillId="2" borderId="13" xfId="0" applyNumberFormat="1" applyFont="1" applyFill="1" applyBorder="1" applyAlignment="1" applyProtection="1">
      <alignment horizontal="center" vertical="center" wrapText="1"/>
      <protection hidden="1"/>
    </xf>
    <xf numFmtId="195" fontId="29" fillId="2" borderId="8" xfId="0" applyNumberFormat="1" applyFont="1" applyFill="1" applyBorder="1" applyAlignment="1" applyProtection="1">
      <alignment horizontal="center" vertical="center" wrapText="1"/>
      <protection hidden="1"/>
    </xf>
    <xf numFmtId="1" fontId="29" fillId="2" borderId="12" xfId="0" applyNumberFormat="1" applyFont="1" applyFill="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30" fillId="2" borderId="0" xfId="0" applyFont="1" applyFill="1" applyAlignment="1">
      <alignment horizontal="justify" vertical="center" wrapText="1"/>
    </xf>
    <xf numFmtId="0" fontId="72" fillId="0" borderId="0" xfId="0" applyFont="1" applyFill="1" applyAlignment="1">
      <alignment vertical="center" wrapText="1"/>
    </xf>
    <xf numFmtId="0" fontId="27"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30" fillId="2" borderId="0" xfId="0" applyFont="1" applyFill="1" applyBorder="1" applyAlignment="1" applyProtection="1">
      <alignment vertical="center" wrapText="1"/>
      <protection locked="0" hidden="1"/>
    </xf>
    <xf numFmtId="0" fontId="30" fillId="23" borderId="0" xfId="0" applyFont="1" applyFill="1" applyProtection="1">
      <protection hidden="1"/>
    </xf>
    <xf numFmtId="170" fontId="30" fillId="2" borderId="0" xfId="0" applyNumberFormat="1" applyFont="1" applyFill="1" applyBorder="1" applyAlignment="1" applyProtection="1">
      <alignment horizontal="left" vertical="center" wrapText="1"/>
      <protection hidden="1"/>
    </xf>
    <xf numFmtId="0" fontId="27" fillId="0" borderId="0" xfId="0" applyFont="1" applyFill="1" applyAlignment="1" applyProtection="1">
      <alignment vertical="center" wrapText="1"/>
      <protection hidden="1"/>
    </xf>
    <xf numFmtId="11" fontId="30" fillId="0" borderId="0" xfId="0" applyNumberFormat="1" applyFont="1" applyFill="1" applyProtection="1">
      <protection hidden="1"/>
    </xf>
    <xf numFmtId="0" fontId="30" fillId="0" borderId="0" xfId="0" applyFont="1" applyFill="1" applyBorder="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center" vertical="center"/>
      <protection hidden="1"/>
    </xf>
    <xf numFmtId="0" fontId="30" fillId="0" borderId="0" xfId="0" applyFont="1" applyFill="1" applyAlignment="1" applyProtection="1">
      <alignment vertical="justify" wrapText="1"/>
      <protection hidden="1"/>
    </xf>
    <xf numFmtId="0" fontId="30" fillId="0" borderId="0" xfId="0" applyFont="1" applyAlignment="1" applyProtection="1">
      <alignment vertical="justify" wrapText="1"/>
      <protection hidden="1"/>
    </xf>
    <xf numFmtId="0" fontId="30" fillId="0" borderId="0" xfId="0" applyFont="1" applyAlignment="1" applyProtection="1">
      <protection hidden="1"/>
    </xf>
    <xf numFmtId="0" fontId="30" fillId="2" borderId="0" xfId="0" applyFont="1" applyFill="1" applyAlignment="1" applyProtection="1">
      <protection hidden="1"/>
    </xf>
    <xf numFmtId="0" fontId="30" fillId="2" borderId="0" xfId="0" applyFont="1" applyFill="1" applyAlignment="1" applyProtection="1">
      <alignment horizontal="center" vertical="center" wrapText="1"/>
      <protection locked="0" hidden="1"/>
    </xf>
    <xf numFmtId="0" fontId="30" fillId="0" borderId="0" xfId="0" applyFont="1" applyFill="1" applyAlignment="1" applyProtection="1">
      <alignment horizontal="justify" vertical="center" wrapText="1"/>
      <protection locked="0" hidden="1"/>
    </xf>
    <xf numFmtId="0" fontId="30" fillId="2" borderId="0" xfId="0" applyFont="1" applyFill="1" applyAlignment="1" applyProtection="1">
      <alignment vertical="center" wrapText="1"/>
      <protection locked="0" hidden="1"/>
    </xf>
    <xf numFmtId="0" fontId="30" fillId="2" borderId="0" xfId="0" applyFont="1" applyFill="1" applyAlignment="1" applyProtection="1">
      <alignment horizontal="justify" vertical="center" wrapText="1"/>
      <protection locked="0" hidden="1"/>
    </xf>
    <xf numFmtId="0" fontId="27" fillId="2" borderId="0" xfId="0" applyFont="1" applyFill="1" applyAlignment="1" applyProtection="1">
      <alignment horizontal="left"/>
      <protection hidden="1"/>
    </xf>
    <xf numFmtId="0" fontId="27" fillId="0" borderId="0" xfId="0" applyFont="1" applyAlignment="1" applyProtection="1">
      <protection hidden="1"/>
    </xf>
    <xf numFmtId="0" fontId="30" fillId="0" borderId="0" xfId="0" applyFont="1" applyAlignment="1" applyProtection="1">
      <alignment horizontal="justify" vertical="center" wrapText="1"/>
      <protection locked="0" hidden="1"/>
    </xf>
    <xf numFmtId="0" fontId="75" fillId="2" borderId="36" xfId="0" applyFont="1" applyFill="1" applyBorder="1" applyAlignment="1" applyProtection="1">
      <alignment horizontal="justify" vertical="center" wrapText="1"/>
      <protection hidden="1"/>
    </xf>
    <xf numFmtId="2" fontId="30" fillId="28" borderId="0" xfId="3" applyFont="1" applyFill="1" applyBorder="1" applyAlignment="1" applyProtection="1">
      <alignment horizontal="center" vertical="center" wrapText="1"/>
      <protection hidden="1"/>
    </xf>
    <xf numFmtId="0" fontId="30" fillId="2" borderId="0" xfId="0" applyFont="1" applyFill="1" applyAlignment="1" applyProtection="1">
      <alignment horizontal="justify" vertical="center" wrapText="1"/>
      <protection hidden="1"/>
    </xf>
    <xf numFmtId="0" fontId="30" fillId="2" borderId="0" xfId="0" applyFont="1" applyFill="1" applyBorder="1" applyAlignment="1" applyProtection="1">
      <alignment horizontal="center"/>
      <protection hidden="1"/>
    </xf>
    <xf numFmtId="0" fontId="30" fillId="2" borderId="0" xfId="0" applyFont="1" applyFill="1" applyAlignment="1" applyProtection="1">
      <alignment horizontal="center" vertical="center" wrapText="1"/>
      <protection hidden="1"/>
    </xf>
    <xf numFmtId="0" fontId="41" fillId="2" borderId="0" xfId="0"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0" fontId="30" fillId="0" borderId="0" xfId="0" applyFont="1" applyAlignment="1" applyProtection="1">
      <alignment horizontal="right" vertical="center" wrapText="1"/>
      <protection hidden="1"/>
    </xf>
    <xf numFmtId="168" fontId="30" fillId="0" borderId="0" xfId="0" applyNumberFormat="1" applyFont="1" applyAlignment="1" applyProtection="1">
      <alignment vertical="center"/>
      <protection hidden="1"/>
    </xf>
    <xf numFmtId="168" fontId="30" fillId="0" borderId="0" xfId="0" applyNumberFormat="1" applyFont="1" applyAlignment="1" applyProtection="1">
      <alignment horizontal="right" vertical="center"/>
      <protection hidden="1"/>
    </xf>
    <xf numFmtId="0" fontId="27" fillId="0" borderId="0" xfId="0" applyFont="1" applyBorder="1" applyAlignment="1" applyProtection="1">
      <alignment horizontal="center"/>
      <protection hidden="1"/>
    </xf>
    <xf numFmtId="0" fontId="30" fillId="0" borderId="0" xfId="0" applyFont="1" applyAlignment="1" applyProtection="1">
      <alignment horizontal="center"/>
      <protection hidden="1"/>
    </xf>
    <xf numFmtId="0" fontId="9" fillId="2" borderId="16" xfId="0" applyFont="1" applyFill="1" applyBorder="1" applyAlignment="1" applyProtection="1">
      <alignment horizontal="center" vertical="center" wrapText="1"/>
      <protection hidden="1"/>
    </xf>
    <xf numFmtId="164" fontId="10" fillId="0" borderId="1" xfId="0" applyNumberFormat="1" applyFont="1" applyFill="1" applyBorder="1" applyAlignment="1" applyProtection="1">
      <alignment horizontal="center" vertical="center" wrapText="1"/>
      <protection hidden="1"/>
    </xf>
    <xf numFmtId="164" fontId="10" fillId="0" borderId="1" xfId="1" applyNumberFormat="1" applyFont="1" applyFill="1" applyBorder="1" applyAlignment="1" applyProtection="1">
      <alignment horizontal="center" vertical="center" wrapText="1"/>
      <protection hidden="1"/>
    </xf>
    <xf numFmtId="0" fontId="10" fillId="0" borderId="42" xfId="0" applyFont="1" applyFill="1" applyBorder="1" applyAlignment="1" applyProtection="1">
      <alignment horizontal="center" vertical="center"/>
      <protection hidden="1"/>
    </xf>
    <xf numFmtId="2" fontId="10" fillId="0" borderId="1" xfId="0" applyNumberFormat="1" applyFont="1" applyFill="1" applyBorder="1" applyAlignment="1" applyProtection="1">
      <alignment horizontal="center" vertical="center" wrapText="1"/>
      <protection hidden="1"/>
    </xf>
    <xf numFmtId="2" fontId="10" fillId="0" borderId="8"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wrapText="1"/>
      <protection hidden="1"/>
    </xf>
    <xf numFmtId="164" fontId="10" fillId="0" borderId="20" xfId="1" applyNumberFormat="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protection hidden="1"/>
    </xf>
    <xf numFmtId="0" fontId="29" fillId="15" borderId="5" xfId="0" applyFont="1" applyFill="1" applyBorder="1" applyAlignment="1" applyProtection="1">
      <alignment horizontal="center" vertical="center"/>
      <protection hidden="1"/>
    </xf>
    <xf numFmtId="171"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74" xfId="0" applyFont="1" applyFill="1" applyBorder="1" applyAlignment="1" applyProtection="1">
      <alignment horizontal="center" vertical="center"/>
      <protection hidden="1"/>
    </xf>
    <xf numFmtId="168" fontId="29" fillId="15" borderId="51" xfId="0" applyNumberFormat="1" applyFont="1" applyFill="1" applyBorder="1" applyAlignment="1" applyProtection="1">
      <alignment horizontal="center" vertical="center"/>
      <protection hidden="1"/>
    </xf>
    <xf numFmtId="14" fontId="29" fillId="15" borderId="59"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protection hidden="1"/>
    </xf>
    <xf numFmtId="0" fontId="29" fillId="15" borderId="20" xfId="0" applyFont="1" applyFill="1" applyBorder="1" applyAlignment="1" applyProtection="1">
      <alignment horizontal="center" vertical="center"/>
      <protection hidden="1"/>
    </xf>
    <xf numFmtId="171" fontId="29" fillId="15" borderId="20" xfId="0" applyNumberFormat="1" applyFont="1" applyFill="1" applyBorder="1" applyAlignment="1" applyProtection="1">
      <alignment horizontal="center" vertical="center"/>
      <protection hidden="1"/>
    </xf>
    <xf numFmtId="0" fontId="29" fillId="15" borderId="42" xfId="0" applyFont="1" applyFill="1" applyBorder="1" applyAlignment="1" applyProtection="1">
      <alignment horizontal="center" vertical="center"/>
      <protection hidden="1"/>
    </xf>
    <xf numFmtId="0" fontId="29" fillId="15" borderId="29" xfId="0" applyFont="1" applyFill="1" applyBorder="1" applyAlignment="1" applyProtection="1">
      <alignment horizontal="center" vertical="center"/>
      <protection hidden="1"/>
    </xf>
    <xf numFmtId="168" fontId="29" fillId="15" borderId="26" xfId="0" applyNumberFormat="1" applyFont="1" applyFill="1" applyBorder="1" applyAlignment="1" applyProtection="1">
      <alignment horizontal="center" vertical="center"/>
      <protection hidden="1"/>
    </xf>
    <xf numFmtId="14" fontId="29" fillId="15" borderId="52" xfId="0" applyNumberFormat="1" applyFont="1" applyFill="1" applyBorder="1" applyAlignment="1" applyProtection="1">
      <alignment horizontal="center" vertical="center"/>
      <protection hidden="1"/>
    </xf>
    <xf numFmtId="171" fontId="29" fillId="15" borderId="7" xfId="0" applyNumberFormat="1" applyFont="1" applyFill="1" applyBorder="1" applyAlignment="1" applyProtection="1">
      <alignment horizontal="center" vertical="center"/>
      <protection hidden="1"/>
    </xf>
    <xf numFmtId="0" fontId="29" fillId="15" borderId="49" xfId="0" applyFont="1" applyFill="1" applyBorder="1" applyAlignment="1" applyProtection="1">
      <alignment horizontal="center" vertical="center"/>
      <protection hidden="1"/>
    </xf>
    <xf numFmtId="171" fontId="29" fillId="15" borderId="49" xfId="0" applyNumberFormat="1"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protection hidden="1"/>
    </xf>
    <xf numFmtId="0" fontId="29" fillId="15" borderId="75" xfId="0" applyFont="1" applyFill="1" applyBorder="1" applyAlignment="1" applyProtection="1">
      <alignment horizontal="center" vertical="center"/>
      <protection hidden="1"/>
    </xf>
    <xf numFmtId="168" fontId="29" fillId="15" borderId="49" xfId="0" applyNumberFormat="1" applyFont="1" applyFill="1" applyBorder="1" applyAlignment="1" applyProtection="1">
      <alignment horizontal="center" vertical="center"/>
      <protection hidden="1"/>
    </xf>
    <xf numFmtId="14" fontId="29" fillId="15" borderId="50"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171" fontId="29" fillId="15" borderId="4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1" xfId="0" applyFont="1" applyFill="1" applyBorder="1" applyAlignment="1" applyProtection="1">
      <alignment horizontal="center" vertical="center"/>
      <protection hidden="1"/>
    </xf>
    <xf numFmtId="0" fontId="29" fillId="15" borderId="52" xfId="0"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171" fontId="29" fillId="15" borderId="4" xfId="0" applyNumberFormat="1" applyFont="1" applyFill="1" applyBorder="1" applyAlignment="1" applyProtection="1">
      <alignment horizontal="center" vertical="center"/>
      <protection hidden="1"/>
    </xf>
    <xf numFmtId="0" fontId="29" fillId="15" borderId="64" xfId="0" applyFont="1" applyFill="1" applyBorder="1" applyAlignment="1" applyProtection="1">
      <alignment horizontal="center" vertical="center" wrapText="1"/>
      <protection hidden="1"/>
    </xf>
    <xf numFmtId="168" fontId="29" fillId="15" borderId="5" xfId="0" applyNumberFormat="1" applyFont="1" applyFill="1" applyBorder="1" applyAlignment="1" applyProtection="1">
      <alignment horizontal="center" vertical="center" wrapText="1"/>
      <protection hidden="1"/>
    </xf>
    <xf numFmtId="0" fontId="29" fillId="15" borderId="39" xfId="0" applyFont="1" applyFill="1" applyBorder="1" applyAlignment="1" applyProtection="1">
      <alignment horizontal="center" vertical="center" wrapText="1"/>
      <protection hidden="1"/>
    </xf>
    <xf numFmtId="0" fontId="0" fillId="15" borderId="3" xfId="0"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0" fontId="0" fillId="15" borderId="13"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177" fontId="29" fillId="15" borderId="5" xfId="0" applyNumberFormat="1" applyFont="1" applyFill="1" applyBorder="1" applyAlignment="1" applyProtection="1">
      <alignment horizontal="center" vertical="center" wrapText="1"/>
      <protection hidden="1"/>
    </xf>
    <xf numFmtId="177" fontId="29" fillId="15" borderId="39" xfId="0" applyNumberFormat="1" applyFont="1" applyFill="1" applyBorder="1" applyAlignment="1" applyProtection="1">
      <alignment horizontal="center" vertical="center" wrapText="1"/>
      <protection hidden="1"/>
    </xf>
    <xf numFmtId="3" fontId="29" fillId="15" borderId="64" xfId="0" applyNumberFormat="1" applyFont="1" applyFill="1" applyBorder="1" applyAlignment="1" applyProtection="1">
      <alignment horizontal="center" vertical="center" wrapText="1"/>
      <protection hidden="1"/>
    </xf>
    <xf numFmtId="177" fontId="29" fillId="15" borderId="1" xfId="0" applyNumberFormat="1" applyFont="1" applyFill="1" applyBorder="1" applyAlignment="1" applyProtection="1">
      <alignment horizontal="center" vertical="center" wrapText="1"/>
      <protection hidden="1"/>
    </xf>
    <xf numFmtId="177" fontId="29" fillId="15" borderId="42" xfId="0" applyNumberFormat="1" applyFont="1" applyFill="1" applyBorder="1" applyAlignment="1" applyProtection="1">
      <alignment horizontal="center" vertical="center" wrapText="1"/>
      <protection hidden="1"/>
    </xf>
    <xf numFmtId="177" fontId="29" fillId="15" borderId="8" xfId="0" applyNumberFormat="1" applyFont="1" applyFill="1" applyBorder="1" applyAlignment="1" applyProtection="1">
      <alignment horizontal="center" vertical="center" wrapText="1"/>
      <protection hidden="1"/>
    </xf>
    <xf numFmtId="177" fontId="29" fillId="15" borderId="12" xfId="0" applyNumberFormat="1" applyFont="1" applyFill="1" applyBorder="1" applyAlignment="1" applyProtection="1">
      <alignment horizontal="center" vertical="center" wrapText="1"/>
      <protection hidden="1"/>
    </xf>
    <xf numFmtId="4" fontId="29" fillId="15" borderId="5" xfId="0" applyNumberFormat="1" applyFont="1" applyFill="1" applyBorder="1" applyAlignment="1" applyProtection="1">
      <alignment horizontal="center" vertical="center" wrapText="1"/>
      <protection hidden="1"/>
    </xf>
    <xf numFmtId="178" fontId="29" fillId="15" borderId="39" xfId="0" applyNumberFormat="1" applyFont="1" applyFill="1" applyBorder="1" applyAlignment="1" applyProtection="1">
      <alignment horizontal="center" vertical="center" wrapText="1"/>
      <protection hidden="1"/>
    </xf>
    <xf numFmtId="14" fontId="29" fillId="15" borderId="39" xfId="0" applyNumberFormat="1" applyFont="1" applyFill="1" applyBorder="1" applyAlignment="1" applyProtection="1">
      <alignment horizontal="center" vertical="center" wrapText="1"/>
      <protection hidden="1"/>
    </xf>
    <xf numFmtId="4" fontId="29" fillId="15" borderId="1"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4" fontId="29" fillId="15" borderId="8" xfId="0" applyNumberFormat="1" applyFont="1"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2" fontId="29" fillId="15" borderId="5"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wrapText="1"/>
      <protection hidden="1"/>
    </xf>
    <xf numFmtId="168" fontId="29" fillId="15" borderId="39" xfId="0" applyNumberFormat="1" applyFont="1" applyFill="1" applyBorder="1" applyAlignment="1" applyProtection="1">
      <alignment horizontal="center" vertical="center" wrapText="1"/>
      <protection hidden="1"/>
    </xf>
    <xf numFmtId="2" fontId="29" fillId="15" borderId="1" xfId="0" applyNumberFormat="1" applyFont="1" applyFill="1" applyBorder="1" applyAlignment="1" applyProtection="1">
      <alignment horizontal="center" vertical="center"/>
      <protection hidden="1"/>
    </xf>
    <xf numFmtId="2" fontId="29" fillId="15" borderId="8" xfId="0" applyNumberFormat="1" applyFont="1" applyFill="1" applyBorder="1" applyAlignment="1" applyProtection="1">
      <alignment horizontal="center" vertical="center"/>
      <protection hidden="1"/>
    </xf>
    <xf numFmtId="171" fontId="29" fillId="19" borderId="39" xfId="0" applyNumberFormat="1" applyFont="1" applyFill="1" applyBorder="1" applyAlignment="1" applyProtection="1">
      <alignment horizontal="center" vertical="center"/>
      <protection hidden="1"/>
    </xf>
    <xf numFmtId="171" fontId="29" fillId="19" borderId="42" xfId="0" applyNumberFormat="1" applyFont="1" applyFill="1" applyBorder="1" applyAlignment="1" applyProtection="1">
      <alignment horizontal="center" vertical="center"/>
      <protection hidden="1"/>
    </xf>
    <xf numFmtId="171" fontId="29" fillId="15" borderId="39" xfId="0" applyNumberFormat="1" applyFont="1" applyFill="1" applyBorder="1" applyAlignment="1" applyProtection="1">
      <alignment horizontal="center" vertical="center" wrapText="1"/>
      <protection hidden="1"/>
    </xf>
    <xf numFmtId="1" fontId="29" fillId="15" borderId="64" xfId="0" applyNumberFormat="1" applyFont="1" applyFill="1" applyBorder="1" applyAlignment="1" applyProtection="1">
      <alignment horizontal="center" vertical="center" wrapText="1"/>
      <protection hidden="1"/>
    </xf>
    <xf numFmtId="171" fontId="29" fillId="15" borderId="42" xfId="0" applyNumberFormat="1" applyFont="1" applyFill="1" applyBorder="1" applyAlignment="1" applyProtection="1">
      <alignment horizontal="center" vertical="center" wrapText="1"/>
      <protection hidden="1"/>
    </xf>
    <xf numFmtId="1" fontId="0" fillId="15" borderId="3" xfId="0" applyNumberForma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71" fontId="0" fillId="15" borderId="12" xfId="0" applyNumberFormat="1" applyFill="1" applyBorder="1" applyAlignment="1" applyProtection="1">
      <alignment horizontal="center" vertical="center" wrapText="1"/>
      <protection hidden="1"/>
    </xf>
    <xf numFmtId="1" fontId="0" fillId="15" borderId="13" xfId="0" applyNumberFormat="1" applyFill="1" applyBorder="1" applyAlignment="1" applyProtection="1">
      <alignment horizontal="center" vertical="center" wrapText="1"/>
      <protection hidden="1"/>
    </xf>
    <xf numFmtId="171" fontId="29" fillId="15" borderId="12" xfId="0" applyNumberFormat="1" applyFont="1" applyFill="1" applyBorder="1" applyAlignment="1" applyProtection="1">
      <alignment horizontal="center" vertical="center" wrapText="1"/>
      <protection hidden="1"/>
    </xf>
    <xf numFmtId="0" fontId="29" fillId="15" borderId="42" xfId="0" applyFont="1" applyFill="1" applyBorder="1" applyAlignment="1" applyProtection="1">
      <alignment horizontal="center" vertical="center" wrapText="1"/>
      <protection hidden="1"/>
    </xf>
    <xf numFmtId="0" fontId="29" fillId="15" borderId="12" xfId="0" applyFont="1" applyFill="1" applyBorder="1" applyAlignment="1" applyProtection="1">
      <alignment horizontal="center" vertical="center" wrapText="1"/>
      <protection hidden="1"/>
    </xf>
    <xf numFmtId="3" fontId="30" fillId="15" borderId="4" xfId="0" applyNumberFormat="1" applyFont="1" applyFill="1" applyBorder="1" applyAlignment="1" applyProtection="1">
      <alignment horizontal="center" vertical="center"/>
      <protection hidden="1"/>
    </xf>
    <xf numFmtId="3" fontId="30" fillId="15" borderId="5" xfId="0" applyNumberFormat="1" applyFont="1" applyFill="1" applyBorder="1" applyAlignment="1" applyProtection="1">
      <alignment horizontal="center" vertical="center" wrapText="1"/>
      <protection hidden="1"/>
    </xf>
    <xf numFmtId="168" fontId="30" fillId="15" borderId="5" xfId="0" applyNumberFormat="1"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wrapText="1"/>
      <protection hidden="1"/>
    </xf>
    <xf numFmtId="169" fontId="30" fillId="15" borderId="39" xfId="0" applyNumberFormat="1" applyFont="1" applyFill="1" applyBorder="1" applyAlignment="1" applyProtection="1">
      <alignment horizontal="center" vertical="center"/>
      <protection hidden="1"/>
    </xf>
    <xf numFmtId="3" fontId="30" fillId="15" borderId="41" xfId="0" applyNumberFormat="1" applyFont="1" applyFill="1" applyBorder="1" applyAlignment="1" applyProtection="1">
      <alignment horizontal="center" vertical="center"/>
      <protection hidden="1"/>
    </xf>
    <xf numFmtId="3" fontId="30" fillId="15" borderId="1" xfId="0" applyNumberFormat="1" applyFont="1" applyFill="1" applyBorder="1" applyAlignment="1" applyProtection="1">
      <alignment horizontal="center" vertical="center" wrapText="1"/>
      <protection hidden="1"/>
    </xf>
    <xf numFmtId="168" fontId="30" fillId="15" borderId="1" xfId="0" applyNumberFormat="1" applyFont="1" applyFill="1" applyBorder="1" applyAlignment="1" applyProtection="1">
      <alignment horizontal="center" vertical="center" wrapText="1"/>
      <protection hidden="1"/>
    </xf>
    <xf numFmtId="0" fontId="30" fillId="15" borderId="1" xfId="0" applyFont="1" applyFill="1" applyBorder="1" applyAlignment="1" applyProtection="1">
      <alignment horizontal="center" vertical="center" wrapText="1"/>
      <protection hidden="1"/>
    </xf>
    <xf numFmtId="169" fontId="30" fillId="15" borderId="42" xfId="0" applyNumberFormat="1" applyFont="1" applyFill="1" applyBorder="1" applyAlignment="1" applyProtection="1">
      <alignment horizontal="center" vertical="center"/>
      <protection hidden="1"/>
    </xf>
    <xf numFmtId="49" fontId="30" fillId="15" borderId="1" xfId="0" applyNumberFormat="1" applyFont="1" applyFill="1" applyBorder="1" applyAlignment="1" applyProtection="1">
      <alignment horizontal="center" vertical="center" wrapText="1"/>
      <protection hidden="1"/>
    </xf>
    <xf numFmtId="3" fontId="30" fillId="15" borderId="7" xfId="0" applyNumberFormat="1" applyFont="1" applyFill="1" applyBorder="1" applyAlignment="1" applyProtection="1">
      <alignment horizontal="center" vertical="center"/>
      <protection hidden="1"/>
    </xf>
    <xf numFmtId="3" fontId="30" fillId="15" borderId="8" xfId="0" applyNumberFormat="1" applyFont="1" applyFill="1" applyBorder="1" applyAlignment="1" applyProtection="1">
      <alignment horizontal="center" vertical="center"/>
      <protection hidden="1"/>
    </xf>
    <xf numFmtId="168" fontId="30" fillId="15" borderId="8" xfId="0" applyNumberFormat="1" applyFont="1" applyFill="1" applyBorder="1" applyAlignment="1" applyProtection="1">
      <alignment horizontal="center" vertical="center" wrapText="1"/>
      <protection hidden="1"/>
    </xf>
    <xf numFmtId="0" fontId="30" fillId="15" borderId="8" xfId="0" applyFont="1" applyFill="1" applyBorder="1" applyAlignment="1" applyProtection="1">
      <alignment horizontal="center" vertical="center" wrapText="1"/>
      <protection hidden="1"/>
    </xf>
    <xf numFmtId="169" fontId="30" fillId="15" borderId="12" xfId="0" applyNumberFormat="1" applyFont="1" applyFill="1" applyBorder="1" applyAlignment="1" applyProtection="1">
      <alignment horizontal="center" vertical="center"/>
      <protection hidden="1"/>
    </xf>
    <xf numFmtId="0" fontId="0" fillId="15" borderId="5" xfId="0" applyFill="1" applyBorder="1" applyAlignment="1" applyProtection="1">
      <alignment horizontal="center" vertical="center" wrapText="1"/>
      <protection hidden="1"/>
    </xf>
    <xf numFmtId="168" fontId="30" fillId="15" borderId="51" xfId="0" applyNumberFormat="1" applyFont="1" applyFill="1" applyBorder="1" applyAlignment="1" applyProtection="1">
      <alignment horizontal="center" vertical="center" wrapText="1"/>
    </xf>
    <xf numFmtId="0" fontId="30" fillId="15" borderId="39" xfId="0" applyFont="1" applyFill="1" applyBorder="1" applyAlignment="1" applyProtection="1">
      <alignment horizontal="center" vertical="center" wrapText="1"/>
      <protection hidden="1"/>
    </xf>
    <xf numFmtId="171" fontId="30" fillId="15" borderId="1"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168" fontId="30" fillId="15" borderId="26" xfId="0" applyNumberFormat="1" applyFont="1" applyFill="1" applyBorder="1" applyAlignment="1" applyProtection="1">
      <alignment horizontal="center" vertical="center" wrapText="1"/>
    </xf>
    <xf numFmtId="0" fontId="30" fillId="15" borderId="42" xfId="0" applyFont="1"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8" xfId="0" applyFill="1" applyBorder="1" applyAlignment="1" applyProtection="1">
      <alignment vertical="center" wrapText="1"/>
      <protection hidden="1"/>
    </xf>
    <xf numFmtId="168" fontId="30" fillId="15" borderId="49" xfId="0" applyNumberFormat="1" applyFont="1" applyFill="1" applyBorder="1" applyAlignment="1" applyProtection="1">
      <alignment horizontal="center" vertical="center" wrapText="1"/>
    </xf>
    <xf numFmtId="0" fontId="30" fillId="15" borderId="12" xfId="0" applyFont="1" applyFill="1" applyBorder="1" applyAlignment="1" applyProtection="1">
      <alignment horizontal="center" vertical="center" wrapText="1"/>
      <protection hidden="1"/>
    </xf>
    <xf numFmtId="177" fontId="0" fillId="15" borderId="1" xfId="0" applyNumberFormat="1" applyFill="1" applyBorder="1" applyAlignment="1" applyProtection="1">
      <alignment horizontal="center" vertical="center" wrapText="1"/>
      <protection hidden="1"/>
    </xf>
    <xf numFmtId="4" fontId="0" fillId="15" borderId="1" xfId="0" applyNumberFormat="1" applyFill="1" applyBorder="1" applyAlignment="1" applyProtection="1">
      <alignment horizontal="center" vertical="center" wrapText="1"/>
      <protection hidden="1"/>
    </xf>
    <xf numFmtId="0" fontId="30" fillId="15" borderId="20" xfId="0" applyFont="1" applyFill="1" applyBorder="1" applyAlignment="1" applyProtection="1">
      <alignment horizontal="center" vertical="center" wrapText="1"/>
      <protection hidden="1"/>
    </xf>
    <xf numFmtId="0" fontId="0" fillId="15" borderId="20" xfId="0" applyFill="1" applyBorder="1" applyAlignment="1" applyProtection="1">
      <alignment horizontal="center" vertical="center" wrapText="1"/>
      <protection hidden="1"/>
    </xf>
    <xf numFmtId="0" fontId="30" fillId="15" borderId="44" xfId="0" applyFont="1" applyFill="1" applyBorder="1" applyAlignment="1" applyProtection="1">
      <alignment horizontal="center" vertical="center" wrapText="1"/>
      <protection hidden="1"/>
    </xf>
    <xf numFmtId="0" fontId="47" fillId="0" borderId="0" xfId="0" applyFont="1" applyFill="1" applyAlignment="1" applyProtection="1">
      <alignment horizontal="left" vertical="top" wrapText="1"/>
      <protection hidden="1"/>
    </xf>
    <xf numFmtId="0" fontId="47" fillId="2" borderId="0" xfId="0" applyFont="1" applyFill="1" applyAlignment="1" applyProtection="1">
      <alignment horizontal="center" vertical="center" wrapText="1"/>
      <protection locked="0" hidden="1"/>
    </xf>
    <xf numFmtId="0" fontId="47" fillId="2" borderId="0" xfId="0" applyFont="1" applyFill="1" applyAlignment="1" applyProtection="1">
      <alignment horizontal="center" vertical="center" wrapText="1"/>
      <protection hidden="1"/>
    </xf>
    <xf numFmtId="0" fontId="47" fillId="0" borderId="0" xfId="0" applyFont="1" applyFill="1" applyAlignment="1" applyProtection="1">
      <alignment horizontal="justify" vertical="center" wrapText="1"/>
      <protection hidden="1"/>
    </xf>
    <xf numFmtId="0" fontId="47" fillId="2" borderId="0" xfId="0" applyFont="1" applyFill="1" applyAlignment="1" applyProtection="1">
      <alignment horizontal="left"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1">
    <dxf>
      <font>
        <strike val="0"/>
        <color rgb="FF00B050"/>
      </font>
      <fill>
        <patternFill>
          <bgColor theme="4" tint="0.39994506668294322"/>
        </patternFill>
      </fill>
    </dxf>
  </dxfs>
  <tableStyles count="1" defaultTableStyle="TableStyleMedium2" defaultPivotStyle="PivotStyleLight16">
    <tableStyle name="Invisible" pivot="0" table="0" count="0" xr9:uid="{5C693F0B-8981-475A-97FA-0BC49E471478}"/>
  </tableStyles>
  <colors>
    <mruColors>
      <color rgb="FFF4B084"/>
      <color rgb="FFB6FD03"/>
      <color rgb="FFDDEBF7"/>
      <color rgb="FF8DB4E2"/>
      <color rgb="FF1F4E78"/>
      <color rgb="FFCDD12F"/>
      <color rgb="FFBDD7EE"/>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'!$F$103:$F$105</c:f>
              <c:numCache>
                <c:formatCode>General</c:formatCode>
                <c:ptCount val="3"/>
                <c:pt idx="0">
                  <c:v>15.3</c:v>
                </c:pt>
                <c:pt idx="1">
                  <c:v>24.7</c:v>
                </c:pt>
                <c:pt idx="2" formatCode="0.0">
                  <c:v>29.5</c:v>
                </c:pt>
              </c:numCache>
            </c:numRef>
          </c:xVal>
          <c:yVal>
            <c:numRef>
              <c:f>'DATOS &amp; '!$H$103:$H$105</c:f>
              <c:numCache>
                <c:formatCode>0.0</c:formatCode>
                <c:ptCount val="3"/>
                <c:pt idx="0">
                  <c:v>0</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599358656"/>
        <c:axId val="1599352128"/>
      </c:scatterChart>
      <c:valAx>
        <c:axId val="15993586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2128"/>
        <c:crosses val="autoZero"/>
        <c:crossBetween val="midCat"/>
      </c:valAx>
      <c:valAx>
        <c:axId val="1599352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86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'!$F$135:$F$137</c:f>
              <c:numCache>
                <c:formatCode>General</c:formatCode>
                <c:ptCount val="3"/>
                <c:pt idx="0">
                  <c:v>15.2</c:v>
                </c:pt>
                <c:pt idx="1">
                  <c:v>24.8</c:v>
                </c:pt>
                <c:pt idx="2" formatCode="0.0">
                  <c:v>29.8</c:v>
                </c:pt>
              </c:numCache>
            </c:numRef>
          </c:xVal>
          <c:yVal>
            <c:numRef>
              <c:f>'DATOS &amp; '!$H$135:$H$137</c:f>
              <c:numCache>
                <c:formatCode>0.0</c:formatCode>
                <c:ptCount val="3"/>
                <c:pt idx="0">
                  <c:v>0</c:v>
                </c:pt>
                <c:pt idx="1">
                  <c:v>0</c:v>
                </c:pt>
                <c:pt idx="2">
                  <c:v>-0.1</c:v>
                </c:pt>
              </c:numCache>
            </c:numRef>
          </c:yVal>
          <c:smooth val="0"/>
          <c:extLs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822454064"/>
        <c:axId val="1822447536"/>
      </c:scatterChart>
      <c:valAx>
        <c:axId val="182245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7536"/>
        <c:crosses val="autoZero"/>
        <c:crossBetween val="midCat"/>
      </c:valAx>
      <c:valAx>
        <c:axId val="1822447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'!$F$138:$F$140</c:f>
              <c:numCache>
                <c:formatCode>General</c:formatCode>
                <c:ptCount val="3"/>
                <c:pt idx="0">
                  <c:v>32.9</c:v>
                </c:pt>
                <c:pt idx="1">
                  <c:v>51.2</c:v>
                </c:pt>
                <c:pt idx="2">
                  <c:v>77.599999999999994</c:v>
                </c:pt>
              </c:numCache>
            </c:numRef>
          </c:xVal>
          <c:yVal>
            <c:numRef>
              <c:f>'DATOS &amp; '!$H$138:$H$140</c:f>
              <c:numCache>
                <c:formatCode>General</c:formatCode>
                <c:ptCount val="3"/>
                <c:pt idx="0">
                  <c:v>-3</c:v>
                </c:pt>
                <c:pt idx="1">
                  <c:v>-1.2</c:v>
                </c:pt>
                <c:pt idx="2">
                  <c:v>2.4</c:v>
                </c:pt>
              </c:numCache>
            </c:numRef>
          </c:yVal>
          <c:smooth val="0"/>
          <c:extLs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31634400"/>
        <c:axId val="1931634944"/>
      </c:scatterChart>
      <c:valAx>
        <c:axId val="1931634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944"/>
        <c:crosses val="autoZero"/>
        <c:crossBetween val="midCat"/>
      </c:valAx>
      <c:valAx>
        <c:axId val="1931634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'!$F$141:$F$143</c:f>
              <c:numCache>
                <c:formatCode>General</c:formatCode>
                <c:ptCount val="3"/>
                <c:pt idx="0">
                  <c:v>598.11699999999996</c:v>
                </c:pt>
                <c:pt idx="1">
                  <c:v>752.81600000000003</c:v>
                </c:pt>
                <c:pt idx="2">
                  <c:v>848.553</c:v>
                </c:pt>
              </c:numCache>
            </c:numRef>
          </c:xVal>
          <c:yVal>
            <c:numRef>
              <c:f>'DATOS &amp; '!$H$141:$H$143</c:f>
              <c:numCache>
                <c:formatCode>0.00</c:formatCode>
                <c:ptCount val="3"/>
                <c:pt idx="0" formatCode="General">
                  <c:v>1.4450000000000001</c:v>
                </c:pt>
                <c:pt idx="1">
                  <c:v>0.95399999999999996</c:v>
                </c:pt>
                <c:pt idx="2" formatCode="General">
                  <c:v>0.70399999999999996</c:v>
                </c:pt>
              </c:numCache>
            </c:numRef>
          </c:yVal>
          <c:smooth val="0"/>
          <c:extLs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31638752"/>
        <c:axId val="1931639840"/>
      </c:scatterChart>
      <c:valAx>
        <c:axId val="193163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9840"/>
        <c:crosses val="autoZero"/>
        <c:crossBetween val="midCat"/>
      </c:valAx>
      <c:valAx>
        <c:axId val="1931639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'!$F$145:$F$147</c:f>
              <c:numCache>
                <c:formatCode>0.0</c:formatCode>
                <c:ptCount val="3"/>
                <c:pt idx="0" formatCode="General">
                  <c:v>15.1</c:v>
                </c:pt>
                <c:pt idx="1">
                  <c:v>24.8</c:v>
                </c:pt>
                <c:pt idx="2">
                  <c:v>29.7</c:v>
                </c:pt>
              </c:numCache>
            </c:numRef>
          </c:xVal>
          <c:yVal>
            <c:numRef>
              <c:f>'DATOS &amp; '!$H$145:$H$147</c:f>
              <c:numCache>
                <c:formatCode>0.0</c:formatCode>
                <c:ptCount val="3"/>
                <c:pt idx="0">
                  <c:v>0.2</c:v>
                </c:pt>
                <c:pt idx="1">
                  <c:v>-0.1</c:v>
                </c:pt>
                <c:pt idx="2">
                  <c:v>-0.3</c:v>
                </c:pt>
              </c:numCache>
            </c:numRef>
          </c:yVal>
          <c:smooth val="0"/>
          <c:extLs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31633312"/>
        <c:axId val="1931638208"/>
      </c:scatterChart>
      <c:valAx>
        <c:axId val="1931633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208"/>
        <c:crosses val="autoZero"/>
        <c:crossBetween val="midCat"/>
      </c:valAx>
      <c:valAx>
        <c:axId val="1931638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'!$F$148:$F$150</c:f>
              <c:numCache>
                <c:formatCode>General</c:formatCode>
                <c:ptCount val="3"/>
                <c:pt idx="0">
                  <c:v>33.200000000000003</c:v>
                </c:pt>
                <c:pt idx="1">
                  <c:v>51.4</c:v>
                </c:pt>
                <c:pt idx="2">
                  <c:v>77.599999999999994</c:v>
                </c:pt>
              </c:numCache>
            </c:numRef>
          </c:xVal>
          <c:yVal>
            <c:numRef>
              <c:f>'DATOS &amp; '!$H$148:$H$150</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31632768"/>
        <c:axId val="1931636032"/>
      </c:scatterChart>
      <c:valAx>
        <c:axId val="1931632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032"/>
        <c:crosses val="autoZero"/>
        <c:crossBetween val="midCat"/>
      </c:valAx>
      <c:valAx>
        <c:axId val="193163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2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'!$A$151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'!$F$151:$F$153</c:f>
              <c:numCache>
                <c:formatCode>General</c:formatCode>
                <c:ptCount val="3"/>
                <c:pt idx="0" formatCode="0.0">
                  <c:v>598.08199999999999</c:v>
                </c:pt>
                <c:pt idx="1">
                  <c:v>752.79499999999996</c:v>
                </c:pt>
                <c:pt idx="2">
                  <c:v>848.6</c:v>
                </c:pt>
              </c:numCache>
            </c:numRef>
          </c:xVal>
          <c:yVal>
            <c:numRef>
              <c:f>'DATOS &amp; '!$H$151:$H$153</c:f>
              <c:numCache>
                <c:formatCode>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31633856"/>
        <c:axId val="1931635488"/>
      </c:scatterChart>
      <c:valAx>
        <c:axId val="1931633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5488"/>
        <c:crosses val="autoZero"/>
        <c:crossBetween val="midCat"/>
      </c:valAx>
      <c:valAx>
        <c:axId val="193163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&amp;'!$N$128:$N$132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6350" cap="rnd" cmpd="dbl">
                <a:solidFill>
                  <a:srgbClr val="B6FD03"/>
                </a:solidFill>
                <a:prstDash val="sysDash"/>
              </a:ln>
              <a:effectLst/>
            </c:spPr>
            <c:trendlineType val="linear"/>
            <c:dispRSqr val="0"/>
            <c:dispEq val="0"/>
          </c:trendline>
          <c:errBars>
            <c:errDir val="x"/>
            <c:errBarType val="both"/>
            <c:errValType val="fixedVal"/>
            <c:noEndCap val="0"/>
            <c:val val="1"/>
            <c:spPr>
              <a:noFill/>
              <a:ln w="9525">
                <a:solidFill>
                  <a:schemeClr val="lt1">
                    <a:lumMod val="50000"/>
                  </a:schemeClr>
                </a:solidFill>
                <a:round/>
              </a:ln>
              <a:effectLst/>
            </c:spPr>
          </c:errBars>
          <c:xVal>
            <c:numRef>
              <c:f>'RT03-F12 &amp;'!$N$128:$N$132</c:f>
              <c:numCache>
                <c:formatCode>0</c:formatCode>
                <c:ptCount val="5"/>
                <c:pt idx="0">
                  <c:v>#N/A</c:v>
                </c:pt>
                <c:pt idx="1">
                  <c:v>#N/A</c:v>
                </c:pt>
                <c:pt idx="2">
                  <c:v>#N/A</c:v>
                </c:pt>
                <c:pt idx="3">
                  <c:v>#N/A</c:v>
                </c:pt>
                <c:pt idx="4">
                  <c:v>#N/A</c:v>
                </c:pt>
              </c:numCache>
            </c:numRef>
          </c:xVal>
          <c:yVal>
            <c:numRef>
              <c:f>'RT03-F12 &amp;'!$O$128:$O$132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31636576"/>
        <c:axId val="1931637120"/>
      </c:scatterChart>
      <c:valAx>
        <c:axId val="1931636576"/>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7120"/>
        <c:crosses val="autoZero"/>
        <c:crossBetween val="midCat"/>
        <c:majorUnit val="1000"/>
        <c:minorUnit val="10"/>
      </c:valAx>
      <c:valAx>
        <c:axId val="1931637120"/>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&amp;'!$A$73:$B$76,'RT03-F12 &amp;'!$A$79:$B$81)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&amp;'!$M$73:$M$76,'RT03-F12 &amp;'!$M$79:$M$81)</c:f>
              <c:numCache>
                <c:formatCode>0%</c:formatCode>
                <c:ptCount val="7"/>
                <c:pt idx="0">
                  <c:v>#N/A</c:v>
                </c:pt>
                <c:pt idx="1">
                  <c:v>0</c:v>
                </c:pt>
                <c:pt idx="2">
                  <c:v>#N/A</c:v>
                </c:pt>
                <c:pt idx="3">
                  <c:v>#N/A</c:v>
                </c:pt>
                <c:pt idx="4">
                  <c:v>#N/A</c:v>
                </c:pt>
                <c:pt idx="5">
                  <c:v>#N/A</c:v>
                </c:pt>
                <c:pt idx="6">
                  <c:v>#N/A</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1931639296"/>
        <c:axId val="1931637664"/>
      </c:barChart>
      <c:catAx>
        <c:axId val="19316392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31637664"/>
        <c:crosses val="autoZero"/>
        <c:auto val="1"/>
        <c:lblAlgn val="ctr"/>
        <c:lblOffset val="100"/>
        <c:noMultiLvlLbl val="0"/>
      </c:catAx>
      <c:valAx>
        <c:axId val="1931637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3163929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&amp;'!$D$102:$D$106</c:f>
                <c:numCache>
                  <c:formatCode>General</c:formatCode>
                  <c:ptCount val="5"/>
                  <c:pt idx="0">
                    <c:v>#N/A</c:v>
                  </c:pt>
                  <c:pt idx="1">
                    <c:v>#N/A</c:v>
                  </c:pt>
                  <c:pt idx="2">
                    <c:v>#N/A</c:v>
                  </c:pt>
                  <c:pt idx="3">
                    <c:v>#N/A</c:v>
                  </c:pt>
                  <c:pt idx="4">
                    <c:v>#N/A</c:v>
                  </c:pt>
                </c:numCache>
              </c:numRef>
            </c:plus>
            <c:minus>
              <c:numRef>
                <c:f>' RT03-F15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&amp;'!$A$102:$A$106</c:f>
              <c:numCache>
                <c:formatCode>\ 0\ 000.0</c:formatCode>
                <c:ptCount val="5"/>
                <c:pt idx="0" formatCode="General">
                  <c:v>#N/A</c:v>
                </c:pt>
                <c:pt idx="1">
                  <c:v>#N/A</c:v>
                </c:pt>
                <c:pt idx="2">
                  <c:v>#N/A</c:v>
                </c:pt>
                <c:pt idx="3">
                  <c:v>#N/A</c:v>
                </c:pt>
                <c:pt idx="4">
                  <c:v>#N/A</c:v>
                </c:pt>
              </c:numCache>
            </c:numRef>
          </c:xVal>
          <c:yVal>
            <c:numRef>
              <c:f>' RT03-F15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 RT03-F15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 RT03-F15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'!$G$7</c:f>
                <c:numCache>
                  <c:formatCode>General</c:formatCode>
                  <c:ptCount val="1"/>
                  <c:pt idx="0">
                    <c:v>#N/A</c:v>
                  </c:pt>
                </c:numCache>
              </c:numRef>
            </c:plus>
            <c:minus>
              <c:numRef>
                <c:f>'Pc &amp;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'!$F$106:$F$108</c:f>
              <c:numCache>
                <c:formatCode>0.0</c:formatCode>
                <c:ptCount val="3"/>
                <c:pt idx="0" formatCode="General">
                  <c:v>33.299999999999997</c:v>
                </c:pt>
                <c:pt idx="1">
                  <c:v>51.2</c:v>
                </c:pt>
                <c:pt idx="2" formatCode="General">
                  <c:v>77.099999999999994</c:v>
                </c:pt>
              </c:numCache>
            </c:numRef>
          </c:xVal>
          <c:yVal>
            <c:numRef>
              <c:f>'DATOS &amp; '!$H$106:$H$108</c:f>
              <c:numCache>
                <c:formatCode>0.0</c:formatCode>
                <c:ptCount val="3"/>
                <c:pt idx="0" formatCode="General">
                  <c:v>-3.3</c:v>
                </c:pt>
                <c:pt idx="1">
                  <c:v>-1.3</c:v>
                </c:pt>
                <c:pt idx="2" formatCode="General">
                  <c:v>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599351584"/>
        <c:axId val="1818357280"/>
      </c:scatterChart>
      <c:valAx>
        <c:axId val="159935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7280"/>
        <c:crosses val="autoZero"/>
        <c:crossBetween val="midCat"/>
      </c:valAx>
      <c:valAx>
        <c:axId val="1818357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'!$G$8</c:f>
                <c:numCache>
                  <c:formatCode>General</c:formatCode>
                  <c:ptCount val="1"/>
                  <c:pt idx="0">
                    <c:v>#N/A</c:v>
                  </c:pt>
                </c:numCache>
              </c:numRef>
            </c:plus>
            <c:minus>
              <c:numRef>
                <c:f>'Pc &amp;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&amp; '!$H$6</c:f>
              <c:strCache>
                <c:ptCount val="1"/>
                <c:pt idx="0">
                  <c:v> ±EMP </c:v>
                </c:pt>
              </c:strCache>
            </c:strRef>
          </c:tx>
          <c:spPr>
            <a:ln w="28575" cap="rnd">
              <a:solidFill>
                <a:srgbClr val="FF0000"/>
              </a:solidFill>
              <a:round/>
            </a:ln>
            <a:effectLst/>
          </c:spPr>
          <c:marker>
            <c:symbol val="none"/>
          </c:marker>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&amp; '!$I$6</c:f>
              <c:strCache>
                <c:ptCount val="1"/>
                <c:pt idx="0">
                  <c:v> ±EMP </c:v>
                </c:pt>
              </c:strCache>
            </c:strRef>
          </c:tx>
          <c:spPr>
            <a:ln w="28575" cap="rnd">
              <a:solidFill>
                <a:srgbClr val="FF0000"/>
              </a:solidFill>
              <a:round/>
            </a:ln>
            <a:effectLst/>
          </c:spPr>
          <c:marker>
            <c:symbol val="none"/>
          </c:marker>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'!$G$9</c:f>
                <c:numCache>
                  <c:formatCode>General</c:formatCode>
                  <c:ptCount val="1"/>
                  <c:pt idx="0">
                    <c:v>#N/A</c:v>
                  </c:pt>
                </c:numCache>
              </c:numRef>
            </c:plus>
            <c:minus>
              <c:numRef>
                <c:f>'Pc &amp;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'!$G$10</c:f>
                <c:numCache>
                  <c:formatCode>General</c:formatCode>
                  <c:ptCount val="1"/>
                  <c:pt idx="0">
                    <c:v>#N/A</c:v>
                  </c:pt>
                </c:numCache>
              </c:numRef>
            </c:plus>
            <c:minus>
              <c:numRef>
                <c:f>'Pc &amp;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'!$G$11</c:f>
                <c:numCache>
                  <c:formatCode>General</c:formatCode>
                  <c:ptCount val="1"/>
                  <c:pt idx="0">
                    <c:v>#N/A</c:v>
                  </c:pt>
                </c:numCache>
              </c:numRef>
            </c:plus>
            <c:minus>
              <c:numRef>
                <c:f>'Pc &amp;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&amp;'!$D$102:$D$106</c:f>
                <c:numCache>
                  <c:formatCode>General</c:formatCode>
                  <c:ptCount val="5"/>
                  <c:pt idx="0">
                    <c:v>#N/A</c:v>
                  </c:pt>
                  <c:pt idx="1">
                    <c:v>#N/A</c:v>
                  </c:pt>
                  <c:pt idx="2">
                    <c:v>#N/A</c:v>
                  </c:pt>
                  <c:pt idx="3">
                    <c:v>#N/A</c:v>
                  </c:pt>
                  <c:pt idx="4">
                    <c:v>#N/A</c:v>
                  </c:pt>
                </c:numCache>
              </c:numRef>
            </c:plus>
            <c:minus>
              <c:numRef>
                <c:f>' RT03-F39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&amp;'!$A$102:$A$106</c:f>
              <c:numCache>
                <c:formatCode>\ 0\ 000.0</c:formatCode>
                <c:ptCount val="5"/>
                <c:pt idx="0" formatCode="General">
                  <c:v>#N/A</c:v>
                </c:pt>
                <c:pt idx="1">
                  <c:v>#N/A</c:v>
                </c:pt>
                <c:pt idx="2">
                  <c:v>#N/A</c:v>
                </c:pt>
                <c:pt idx="3">
                  <c:v>#N/A</c:v>
                </c:pt>
                <c:pt idx="4">
                  <c:v>#N/A</c:v>
                </c:pt>
              </c:numCache>
            </c:numRef>
          </c:xVal>
          <c:yVal>
            <c:numRef>
              <c:f>' RT03-F39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36B1-4052-B077-FF9EAD15D118}"/>
            </c:ext>
          </c:extLst>
        </c:ser>
        <c:ser>
          <c:idx val="1"/>
          <c:order val="1"/>
          <c:tx>
            <c:strRef>
              <c:f>' RT03-F39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36B1-4052-B077-FF9EAD15D118}"/>
            </c:ext>
          </c:extLst>
        </c:ser>
        <c:ser>
          <c:idx val="2"/>
          <c:order val="2"/>
          <c:tx>
            <c:strRef>
              <c:f>' RT03-F39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36B1-4052-B077-FF9EAD15D118}"/>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'!$F$109:$F$111</c:f>
              <c:numCache>
                <c:formatCode>General</c:formatCode>
                <c:ptCount val="3"/>
                <c:pt idx="0">
                  <c:v>598.03200000000004</c:v>
                </c:pt>
                <c:pt idx="1">
                  <c:v>752.71299999999997</c:v>
                </c:pt>
                <c:pt idx="2" formatCode="0.0">
                  <c:v>848.5</c:v>
                </c:pt>
              </c:numCache>
            </c:numRef>
          </c:xVal>
          <c:yVal>
            <c:numRef>
              <c:f>'DATOS &amp; '!$H$109:$H$111</c:f>
              <c:numCache>
                <c:formatCode>General</c:formatCode>
                <c:ptCount val="3"/>
                <c:pt idx="0" formatCode="0.000">
                  <c:v>1.534</c:v>
                </c:pt>
                <c:pt idx="1">
                  <c:v>1.0549999999999999</c:v>
                </c:pt>
                <c:pt idx="2">
                  <c:v>0.77800000000000002</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818360000"/>
        <c:axId val="1804665600"/>
      </c:scatterChart>
      <c:valAx>
        <c:axId val="1818360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04665600"/>
        <c:crosses val="autoZero"/>
        <c:crossBetween val="midCat"/>
      </c:valAx>
      <c:valAx>
        <c:axId val="1804665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'!$F$114:$F$116</c:f>
              <c:numCache>
                <c:formatCode>General</c:formatCode>
                <c:ptCount val="3"/>
                <c:pt idx="0" formatCode="0.0">
                  <c:v>15.3</c:v>
                </c:pt>
                <c:pt idx="1">
                  <c:v>24.5</c:v>
                </c:pt>
                <c:pt idx="2">
                  <c:v>29.5</c:v>
                </c:pt>
              </c:numCache>
            </c:numRef>
          </c:xVal>
          <c:yVal>
            <c:numRef>
              <c:f>'DATOS &amp; '!$H$114:$H$116</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822449168"/>
        <c:axId val="1822448080"/>
      </c:scatterChart>
      <c:valAx>
        <c:axId val="1822449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080"/>
        <c:crosses val="autoZero"/>
        <c:crossBetween val="midCat"/>
      </c:valAx>
      <c:valAx>
        <c:axId val="1822448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'!$F$117:$F$119</c:f>
              <c:numCache>
                <c:formatCode>General</c:formatCode>
                <c:ptCount val="3"/>
                <c:pt idx="0">
                  <c:v>32.4</c:v>
                </c:pt>
                <c:pt idx="1">
                  <c:v>50.2</c:v>
                </c:pt>
                <c:pt idx="2">
                  <c:v>76.099999999999994</c:v>
                </c:pt>
              </c:numCache>
            </c:numRef>
          </c:xVal>
          <c:yVal>
            <c:numRef>
              <c:f>'DATOS &amp; '!$H$117:$H$119</c:f>
              <c:numCache>
                <c:formatCode>#,##0.0</c:formatCode>
                <c:ptCount val="3"/>
                <c:pt idx="0">
                  <c:v>-2.4</c:v>
                </c:pt>
                <c:pt idx="1">
                  <c:v>-0.2</c:v>
                </c:pt>
                <c:pt idx="2">
                  <c:v>3.9</c:v>
                </c:pt>
              </c:numCache>
            </c:numRef>
          </c:yVal>
          <c:smooth val="0"/>
          <c:extLs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822446992"/>
        <c:axId val="1822452976"/>
      </c:scatterChart>
      <c:valAx>
        <c:axId val="1822446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976"/>
        <c:crosses val="autoZero"/>
        <c:crossBetween val="midCat"/>
      </c:valAx>
      <c:valAx>
        <c:axId val="1822452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6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'!$F$120:$F$122</c:f>
              <c:numCache>
                <c:formatCode>General</c:formatCode>
                <c:ptCount val="3"/>
                <c:pt idx="0" formatCode="0.0">
                  <c:v>397.70400000000001</c:v>
                </c:pt>
                <c:pt idx="1">
                  <c:v>752.71299999999997</c:v>
                </c:pt>
                <c:pt idx="2">
                  <c:v>1098.79</c:v>
                </c:pt>
              </c:numCache>
            </c:numRef>
          </c:xVal>
          <c:yVal>
            <c:numRef>
              <c:f>'DATOS &amp; '!$H$120:$H$122</c:f>
              <c:numCache>
                <c:formatCode>#,##0.00</c:formatCode>
                <c:ptCount val="3"/>
                <c:pt idx="0">
                  <c:v>2.25</c:v>
                </c:pt>
                <c:pt idx="1">
                  <c:v>1.0549999999999999</c:v>
                </c:pt>
                <c:pt idx="2">
                  <c:v>0.84</c:v>
                </c:pt>
              </c:numCache>
            </c:numRef>
          </c:yVal>
          <c:smooth val="0"/>
          <c:extLs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822449712"/>
        <c:axId val="1822451888"/>
      </c:scatterChart>
      <c:valAx>
        <c:axId val="1822449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888"/>
        <c:crosses val="autoZero"/>
        <c:crossBetween val="midCat"/>
      </c:valAx>
      <c:valAx>
        <c:axId val="1822451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'!$F$125:$F$127</c:f>
              <c:numCache>
                <c:formatCode>General</c:formatCode>
                <c:ptCount val="3"/>
                <c:pt idx="0" formatCode="0.0">
                  <c:v>15.3</c:v>
                </c:pt>
                <c:pt idx="1">
                  <c:v>24.8</c:v>
                </c:pt>
                <c:pt idx="2">
                  <c:v>29.6</c:v>
                </c:pt>
              </c:numCache>
            </c:numRef>
          </c:xVal>
          <c:yVal>
            <c:numRef>
              <c:f>'DATOS &amp; '!$H$125:$H$127</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822448624"/>
        <c:axId val="1822453520"/>
      </c:scatterChart>
      <c:valAx>
        <c:axId val="18224486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3520"/>
        <c:crosses val="autoZero"/>
        <c:crossBetween val="midCat"/>
      </c:valAx>
      <c:valAx>
        <c:axId val="1822453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6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'!$F$128:$F$130</c:f>
              <c:numCache>
                <c:formatCode>General</c:formatCode>
                <c:ptCount val="3"/>
                <c:pt idx="0">
                  <c:v>32.299999999999997</c:v>
                </c:pt>
                <c:pt idx="1">
                  <c:v>50.6</c:v>
                </c:pt>
                <c:pt idx="2">
                  <c:v>68.599999999999994</c:v>
                </c:pt>
              </c:numCache>
            </c:numRef>
          </c:xVal>
          <c:yVal>
            <c:numRef>
              <c:f>'DATOS &amp; '!$H$128:$H$130</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822450800"/>
        <c:axId val="1822450256"/>
      </c:scatterChart>
      <c:valAx>
        <c:axId val="182245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256"/>
        <c:crosses val="autoZero"/>
        <c:crossBetween val="midCat"/>
      </c:valAx>
      <c:valAx>
        <c:axId val="1822450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'!$F$131:$F$133</c:f>
              <c:numCache>
                <c:formatCode>General</c:formatCode>
                <c:ptCount val="3"/>
                <c:pt idx="0" formatCode="0.0">
                  <c:v>397.74599999999998</c:v>
                </c:pt>
                <c:pt idx="1">
                  <c:v>752.61900000000003</c:v>
                </c:pt>
                <c:pt idx="2">
                  <c:v>1098.8340000000001</c:v>
                </c:pt>
              </c:numCache>
            </c:numRef>
          </c:xVal>
          <c:yVal>
            <c:numRef>
              <c:f>'DATOS &amp; '!$H$131:$H$133</c:f>
              <c:numCache>
                <c:formatCode>0.00</c:formatCode>
                <c:ptCount val="3"/>
                <c:pt idx="0">
                  <c:v>2.33</c:v>
                </c:pt>
                <c:pt idx="1">
                  <c:v>0.99099999999999999</c:v>
                </c:pt>
                <c:pt idx="2">
                  <c:v>0.74</c:v>
                </c:pt>
              </c:numCache>
            </c:numRef>
          </c:yVal>
          <c:smooth val="0"/>
          <c:extLs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822451344"/>
        <c:axId val="1822452432"/>
      </c:scatterChart>
      <c:valAx>
        <c:axId val="1822451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432"/>
        <c:crosses val="autoZero"/>
        <c:crossBetween val="midCat"/>
      </c:valAx>
      <c:valAx>
        <c:axId val="1822452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media/image2.png"/><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105</xdr:row>
      <xdr:rowOff>214766</xdr:rowOff>
    </xdr:from>
    <xdr:to>
      <xdr:col>15</xdr:col>
      <xdr:colOff>696909</xdr:colOff>
      <xdr:row>108</xdr:row>
      <xdr:rowOff>350838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105</xdr:row>
      <xdr:rowOff>231775</xdr:rowOff>
    </xdr:from>
    <xdr:to>
      <xdr:col>17</xdr:col>
      <xdr:colOff>630915</xdr:colOff>
      <xdr:row>108</xdr:row>
      <xdr:rowOff>367847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105</xdr:row>
      <xdr:rowOff>268288</xdr:rowOff>
    </xdr:from>
    <xdr:to>
      <xdr:col>19</xdr:col>
      <xdr:colOff>942065</xdr:colOff>
      <xdr:row>109</xdr:row>
      <xdr:rowOff>23360</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116</xdr:row>
      <xdr:rowOff>238125</xdr:rowOff>
    </xdr:from>
    <xdr:to>
      <xdr:col>15</xdr:col>
      <xdr:colOff>861103</xdr:colOff>
      <xdr:row>119</xdr:row>
      <xdr:rowOff>374197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116</xdr:row>
      <xdr:rowOff>228601</xdr:rowOff>
    </xdr:from>
    <xdr:to>
      <xdr:col>17</xdr:col>
      <xdr:colOff>708703</xdr:colOff>
      <xdr:row>119</xdr:row>
      <xdr:rowOff>364673</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116</xdr:row>
      <xdr:rowOff>250825</xdr:rowOff>
    </xdr:from>
    <xdr:to>
      <xdr:col>19</xdr:col>
      <xdr:colOff>954765</xdr:colOff>
      <xdr:row>120</xdr:row>
      <xdr:rowOff>5897</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127</xdr:row>
      <xdr:rowOff>269875</xdr:rowOff>
    </xdr:from>
    <xdr:to>
      <xdr:col>15</xdr:col>
      <xdr:colOff>835703</xdr:colOff>
      <xdr:row>131</xdr:row>
      <xdr:rowOff>24947</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127</xdr:row>
      <xdr:rowOff>293688</xdr:rowOff>
    </xdr:from>
    <xdr:to>
      <xdr:col>17</xdr:col>
      <xdr:colOff>780140</xdr:colOff>
      <xdr:row>131</xdr:row>
      <xdr:rowOff>48760</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127</xdr:row>
      <xdr:rowOff>277813</xdr:rowOff>
    </xdr:from>
    <xdr:to>
      <xdr:col>19</xdr:col>
      <xdr:colOff>1216702</xdr:colOff>
      <xdr:row>131</xdr:row>
      <xdr:rowOff>32885</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137</xdr:row>
      <xdr:rowOff>276679</xdr:rowOff>
    </xdr:from>
    <xdr:to>
      <xdr:col>15</xdr:col>
      <xdr:colOff>738185</xdr:colOff>
      <xdr:row>141</xdr:row>
      <xdr:rowOff>31751</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137</xdr:row>
      <xdr:rowOff>285750</xdr:rowOff>
    </xdr:from>
    <xdr:to>
      <xdr:col>17</xdr:col>
      <xdr:colOff>654274</xdr:colOff>
      <xdr:row>141</xdr:row>
      <xdr:rowOff>40822</xdr:rowOff>
    </xdr:to>
    <xdr:graphicFrame macro="">
      <xdr:nvGraphicFramePr>
        <xdr:cNvPr id="33" name="Gráfico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137</xdr:row>
      <xdr:rowOff>343581</xdr:rowOff>
    </xdr:from>
    <xdr:to>
      <xdr:col>19</xdr:col>
      <xdr:colOff>1044346</xdr:colOff>
      <xdr:row>141</xdr:row>
      <xdr:rowOff>98653</xdr:rowOff>
    </xdr:to>
    <xdr:graphicFrame macro="">
      <xdr:nvGraphicFramePr>
        <xdr:cNvPr id="35" name="Gráfico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147</xdr:row>
      <xdr:rowOff>305593</xdr:rowOff>
    </xdr:from>
    <xdr:to>
      <xdr:col>15</xdr:col>
      <xdr:colOff>875390</xdr:colOff>
      <xdr:row>151</xdr:row>
      <xdr:rowOff>60665</xdr:rowOff>
    </xdr:to>
    <xdr:graphicFrame macro="">
      <xdr:nvGraphicFramePr>
        <xdr:cNvPr id="37" name="Gráfico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147</xdr:row>
      <xdr:rowOff>337345</xdr:rowOff>
    </xdr:from>
    <xdr:to>
      <xdr:col>17</xdr:col>
      <xdr:colOff>776172</xdr:colOff>
      <xdr:row>151</xdr:row>
      <xdr:rowOff>92417</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147</xdr:row>
      <xdr:rowOff>257969</xdr:rowOff>
    </xdr:from>
    <xdr:to>
      <xdr:col>19</xdr:col>
      <xdr:colOff>1085734</xdr:colOff>
      <xdr:row>151</xdr:row>
      <xdr:rowOff>13041</xdr:rowOff>
    </xdr:to>
    <xdr:graphicFrame macro="">
      <xdr:nvGraphicFramePr>
        <xdr:cNvPr id="41" name="Gráfico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97</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9301050" y="14405870"/>
          <a:ext cx="3212419"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85</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101600</xdr:colOff>
      <xdr:row>0</xdr:row>
      <xdr:rowOff>295689</xdr:rowOff>
    </xdr:from>
    <xdr:to>
      <xdr:col>2</xdr:col>
      <xdr:colOff>1028317</xdr:colOff>
      <xdr:row>2</xdr:row>
      <xdr:rowOff>114300</xdr:rowOff>
    </xdr:to>
    <xdr:pic>
      <xdr:nvPicPr>
        <xdr:cNvPr id="31" name="Imagen 30">
          <a:extLst>
            <a:ext uri="{FF2B5EF4-FFF2-40B4-BE49-F238E27FC236}">
              <a16:creationId xmlns:a16="http://schemas.microsoft.com/office/drawing/2014/main" id="{8E631546-EB39-4C2B-863E-348BEA21AA42}"/>
            </a:ext>
          </a:extLst>
        </xdr:cNvPr>
        <xdr:cNvPicPr>
          <a:picLocks noChangeAspect="1"/>
        </xdr:cNvPicPr>
      </xdr:nvPicPr>
      <xdr:blipFill>
        <a:blip xmlns:r="http://schemas.openxmlformats.org/officeDocument/2006/relationships" r:embed="rId5"/>
        <a:stretch>
          <a:fillRect/>
        </a:stretch>
      </xdr:blipFill>
      <xdr:spPr>
        <a:xfrm>
          <a:off x="101600" y="295689"/>
          <a:ext cx="3263517" cy="707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311726</xdr:colOff>
      <xdr:row>60</xdr:row>
      <xdr:rowOff>166983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43924</xdr:colOff>
      <xdr:row>0</xdr:row>
      <xdr:rowOff>206374</xdr:rowOff>
    </xdr:from>
    <xdr:to>
      <xdr:col>2</xdr:col>
      <xdr:colOff>755267</xdr:colOff>
      <xdr:row>0</xdr:row>
      <xdr:rowOff>746125</xdr:rowOff>
    </xdr:to>
    <xdr:pic>
      <xdr:nvPicPr>
        <xdr:cNvPr id="6" name="Imagen 5">
          <a:extLst>
            <a:ext uri="{FF2B5EF4-FFF2-40B4-BE49-F238E27FC236}">
              <a16:creationId xmlns:a16="http://schemas.microsoft.com/office/drawing/2014/main" id="{CD5B1C86-B841-4424-ACB1-134F1C4982F7}"/>
            </a:ext>
          </a:extLst>
        </xdr:cNvPr>
        <xdr:cNvPicPr>
          <a:picLocks noChangeAspect="1"/>
        </xdr:cNvPicPr>
      </xdr:nvPicPr>
      <xdr:blipFill>
        <a:blip xmlns:r="http://schemas.openxmlformats.org/officeDocument/2006/relationships" r:embed="rId1"/>
        <a:stretch>
          <a:fillRect/>
        </a:stretch>
      </xdr:blipFill>
      <xdr:spPr>
        <a:xfrm>
          <a:off x="43924" y="206374"/>
          <a:ext cx="2489343" cy="539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9B660B56-F3F2-4185-8E24-6B9268480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345F3C3-17BE-4724-9D96-21C8D2F8E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974C04A6-3379-44D2-8E9F-57F05AEF8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62A2DF57-AB76-4C40-9106-D690580E7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7B67636D-0DFD-461A-9516-AF7A1D49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453572</xdr:colOff>
      <xdr:row>0</xdr:row>
      <xdr:rowOff>299357</xdr:rowOff>
    </xdr:from>
    <xdr:to>
      <xdr:col>3</xdr:col>
      <xdr:colOff>641875</xdr:colOff>
      <xdr:row>2</xdr:row>
      <xdr:rowOff>144656</xdr:rowOff>
    </xdr:to>
    <xdr:pic>
      <xdr:nvPicPr>
        <xdr:cNvPr id="13" name="Imagen 12">
          <a:extLst>
            <a:ext uri="{FF2B5EF4-FFF2-40B4-BE49-F238E27FC236}">
              <a16:creationId xmlns:a16="http://schemas.microsoft.com/office/drawing/2014/main" id="{C0024653-A7A2-4435-BB1D-3750FEF13A58}"/>
            </a:ext>
          </a:extLst>
        </xdr:cNvPr>
        <xdr:cNvPicPr>
          <a:picLocks noChangeAspect="1"/>
        </xdr:cNvPicPr>
      </xdr:nvPicPr>
      <xdr:blipFill>
        <a:blip xmlns:r="http://schemas.openxmlformats.org/officeDocument/2006/relationships" r:embed="rId6"/>
        <a:stretch>
          <a:fillRect/>
        </a:stretch>
      </xdr:blipFill>
      <xdr:spPr>
        <a:xfrm>
          <a:off x="453572" y="299357"/>
          <a:ext cx="2800874" cy="6072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309563</xdr:colOff>
      <xdr:row>0</xdr:row>
      <xdr:rowOff>293689</xdr:rowOff>
    </xdr:from>
    <xdr:to>
      <xdr:col>1</xdr:col>
      <xdr:colOff>1501391</xdr:colOff>
      <xdr:row>0</xdr:row>
      <xdr:rowOff>956553</xdr:rowOff>
    </xdr:to>
    <xdr:pic>
      <xdr:nvPicPr>
        <xdr:cNvPr id="4" name="Imagen 3">
          <a:extLst>
            <a:ext uri="{FF2B5EF4-FFF2-40B4-BE49-F238E27FC236}">
              <a16:creationId xmlns:a16="http://schemas.microsoft.com/office/drawing/2014/main" id="{40F391CA-AD43-4411-B9D3-3992E2D7453A}"/>
            </a:ext>
          </a:extLst>
        </xdr:cNvPr>
        <xdr:cNvPicPr>
          <a:picLocks noChangeAspect="1"/>
        </xdr:cNvPicPr>
      </xdr:nvPicPr>
      <xdr:blipFill>
        <a:blip xmlns:r="http://schemas.openxmlformats.org/officeDocument/2006/relationships" r:embed="rId1"/>
        <a:stretch>
          <a:fillRect/>
        </a:stretch>
      </xdr:blipFill>
      <xdr:spPr>
        <a:xfrm>
          <a:off x="309563" y="293689"/>
          <a:ext cx="3057141" cy="6628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311727</xdr:colOff>
      <xdr:row>60</xdr:row>
      <xdr:rowOff>166983</xdr:rowOff>
    </xdr:to>
    <xdr:pic>
      <xdr:nvPicPr>
        <xdr:cNvPr id="2" name="Imagen 1">
          <a:extLst>
            <a:ext uri="{FF2B5EF4-FFF2-40B4-BE49-F238E27FC236}">
              <a16:creationId xmlns:a16="http://schemas.microsoft.com/office/drawing/2014/main" id="{803ED6DD-1B6E-4FEE-BD97-16D951207C33}"/>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965101" y="20397244"/>
          <a:ext cx="17410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2">
          <a:extLst>
            <a:ext uri="{FF2B5EF4-FFF2-40B4-BE49-F238E27FC236}">
              <a16:creationId xmlns:a16="http://schemas.microsoft.com/office/drawing/2014/main" id="{7784CE1D-3761-4F15-9F88-5C2B99CBEFD2}"/>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3">
          <a:extLst>
            <a:ext uri="{FF2B5EF4-FFF2-40B4-BE49-F238E27FC236}">
              <a16:creationId xmlns:a16="http://schemas.microsoft.com/office/drawing/2014/main" id="{F7F7C830-59A6-4958-9252-E6DDDB13D173}"/>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6" name="Gráfico 5">
          <a:extLst>
            <a:ext uri="{FF2B5EF4-FFF2-40B4-BE49-F238E27FC236}">
              <a16:creationId xmlns:a16="http://schemas.microsoft.com/office/drawing/2014/main" id="{C6ACCF9D-F3A4-44AA-9CEB-430DC3B13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E203"/>
  <sheetViews>
    <sheetView showGridLines="0" view="pageBreakPreview" zoomScale="70" zoomScaleNormal="20" zoomScaleSheetLayoutView="70" workbookViewId="0">
      <selection activeCell="B9" sqref="B9"/>
    </sheetView>
  </sheetViews>
  <sheetFormatPr baseColWidth="10" defaultColWidth="15.7265625" defaultRowHeight="18" x14ac:dyDescent="0.35"/>
  <cols>
    <col min="1" max="1" width="15.7265625" style="56"/>
    <col min="2" max="7" width="20.7265625" style="56" customWidth="1"/>
    <col min="8" max="8" width="20.1796875" style="56" customWidth="1"/>
    <col min="9" max="9" width="24.26953125" style="56" customWidth="1"/>
    <col min="10" max="10" width="22.1796875" style="56" customWidth="1"/>
    <col min="11" max="12" width="20.7265625" style="56" customWidth="1"/>
    <col min="13" max="13" width="19.1796875" style="56" customWidth="1"/>
    <col min="14" max="14" width="19.453125" style="56" customWidth="1"/>
    <col min="15" max="16" width="20.7265625" style="58" customWidth="1"/>
    <col min="17" max="17" width="24.26953125" style="58" customWidth="1"/>
    <col min="18" max="21" width="20.7265625" style="58" customWidth="1"/>
    <col min="22" max="22" width="22.1796875" style="452" customWidth="1"/>
    <col min="23" max="26" width="20.7265625" style="58" customWidth="1"/>
    <col min="27" max="33" width="20.7265625" style="56" customWidth="1"/>
    <col min="34" max="34" width="19.81640625" style="56" bestFit="1" customWidth="1"/>
    <col min="35" max="38" width="15.81640625" style="56" bestFit="1" customWidth="1"/>
    <col min="39" max="43" width="16" style="56" customWidth="1"/>
    <col min="44" max="47" width="10.7265625" style="56" customWidth="1"/>
    <col min="48" max="48" width="16" style="56" bestFit="1" customWidth="1"/>
    <col min="49" max="49" width="15.81640625" style="56" bestFit="1" customWidth="1"/>
    <col min="50" max="50" width="20.7265625" style="56" bestFit="1" customWidth="1"/>
    <col min="51" max="51" width="15.81640625" style="56" bestFit="1" customWidth="1"/>
    <col min="52" max="52" width="15.7265625" style="56"/>
    <col min="53" max="53" width="20" style="56" customWidth="1"/>
    <col min="54" max="55" width="10.7265625" style="56" customWidth="1"/>
    <col min="56" max="16384" width="15.7265625" style="56"/>
  </cols>
  <sheetData>
    <row r="1" spans="2:83" ht="30" customHeight="1" x14ac:dyDescent="0.35">
      <c r="C1" s="57"/>
      <c r="D1" s="57"/>
      <c r="E1" s="57"/>
      <c r="F1" s="57"/>
      <c r="G1" s="57"/>
      <c r="H1" s="57"/>
      <c r="I1" s="57"/>
      <c r="J1" s="57"/>
      <c r="K1" s="57"/>
      <c r="L1" s="57"/>
      <c r="M1" s="57"/>
    </row>
    <row r="2" spans="2:83" ht="30" customHeight="1" thickBot="1" x14ac:dyDescent="0.4">
      <c r="B2" s="57"/>
      <c r="C2" s="57"/>
      <c r="D2" s="57"/>
      <c r="E2" s="57"/>
      <c r="F2" s="57"/>
      <c r="G2" s="57"/>
      <c r="H2" s="57"/>
      <c r="I2" s="57"/>
      <c r="J2" s="57"/>
      <c r="K2" s="57"/>
      <c r="L2" s="57"/>
      <c r="M2" s="57"/>
    </row>
    <row r="3" spans="2:83" ht="30" customHeight="1" x14ac:dyDescent="0.35">
      <c r="B3" s="57"/>
      <c r="C3" s="926" t="s">
        <v>105</v>
      </c>
      <c r="D3" s="927"/>
      <c r="E3" s="927"/>
      <c r="F3" s="927"/>
      <c r="G3" s="927"/>
      <c r="H3" s="927"/>
      <c r="I3" s="927"/>
      <c r="J3" s="927"/>
      <c r="K3" s="927"/>
      <c r="L3" s="927"/>
      <c r="M3" s="927"/>
      <c r="N3" s="928"/>
    </row>
    <row r="4" spans="2:83" ht="30" customHeight="1" thickBot="1" x14ac:dyDescent="0.4">
      <c r="B4" s="57"/>
      <c r="C4" s="929"/>
      <c r="D4" s="930"/>
      <c r="E4" s="930"/>
      <c r="F4" s="930"/>
      <c r="G4" s="930"/>
      <c r="H4" s="930"/>
      <c r="I4" s="930"/>
      <c r="J4" s="930"/>
      <c r="K4" s="930"/>
      <c r="L4" s="930"/>
      <c r="M4" s="930"/>
      <c r="N4" s="931"/>
    </row>
    <row r="5" spans="2:83" ht="30" customHeight="1" x14ac:dyDescent="0.35">
      <c r="B5" s="57"/>
      <c r="C5" s="952" t="s">
        <v>106</v>
      </c>
      <c r="D5" s="925" t="s">
        <v>6</v>
      </c>
      <c r="E5" s="925" t="s">
        <v>107</v>
      </c>
      <c r="F5" s="925" t="s">
        <v>7</v>
      </c>
      <c r="G5" s="925" t="s">
        <v>332</v>
      </c>
      <c r="H5" s="925" t="s">
        <v>458</v>
      </c>
      <c r="I5" s="925" t="s">
        <v>184</v>
      </c>
      <c r="J5" s="925" t="s">
        <v>333</v>
      </c>
      <c r="K5" s="925" t="s">
        <v>248</v>
      </c>
      <c r="L5" s="828"/>
      <c r="M5" s="932" t="s">
        <v>340</v>
      </c>
      <c r="N5" s="934" t="s">
        <v>235</v>
      </c>
    </row>
    <row r="6" spans="2:83" ht="30" customHeight="1" thickBot="1" x14ac:dyDescent="0.4">
      <c r="B6" s="57"/>
      <c r="C6" s="953"/>
      <c r="D6" s="924"/>
      <c r="E6" s="924"/>
      <c r="F6" s="924"/>
      <c r="G6" s="924"/>
      <c r="H6" s="924"/>
      <c r="I6" s="924"/>
      <c r="J6" s="924"/>
      <c r="K6" s="924"/>
      <c r="L6" s="829"/>
      <c r="M6" s="933" t="s">
        <v>234</v>
      </c>
      <c r="N6" s="935"/>
    </row>
    <row r="7" spans="2:83" ht="30" customHeight="1" x14ac:dyDescent="0.35">
      <c r="B7" s="57"/>
      <c r="C7" s="93"/>
      <c r="D7" s="94"/>
      <c r="E7" s="94"/>
      <c r="F7" s="94"/>
      <c r="G7" s="94"/>
      <c r="H7" s="94"/>
      <c r="I7" s="94"/>
      <c r="J7" s="94"/>
      <c r="K7" s="94"/>
      <c r="L7" s="95"/>
      <c r="M7" s="98"/>
      <c r="N7" s="95"/>
    </row>
    <row r="8" spans="2:83" s="63" customFormat="1" ht="75" customHeight="1" x14ac:dyDescent="0.4">
      <c r="B8" s="62"/>
      <c r="C8" s="206">
        <v>1</v>
      </c>
      <c r="D8" s="553"/>
      <c r="E8" s="264"/>
      <c r="F8" s="554"/>
      <c r="G8" s="554"/>
      <c r="H8" s="308"/>
      <c r="I8" s="264"/>
      <c r="J8" s="553"/>
      <c r="K8" s="553"/>
      <c r="L8" s="229"/>
      <c r="M8" s="230">
        <v>2</v>
      </c>
      <c r="N8" s="311">
        <v>0.95</v>
      </c>
      <c r="V8" s="453"/>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CD8" s="56"/>
      <c r="CE8" s="56"/>
    </row>
    <row r="9" spans="2:83" s="63" customFormat="1" ht="30" customHeight="1" thickBot="1" x14ac:dyDescent="0.45">
      <c r="B9" s="62"/>
      <c r="C9" s="64"/>
      <c r="D9" s="65"/>
      <c r="E9" s="65"/>
      <c r="F9" s="65"/>
      <c r="G9" s="65"/>
      <c r="H9" s="65"/>
      <c r="I9" s="65"/>
      <c r="J9" s="65"/>
      <c r="K9" s="65"/>
      <c r="L9" s="92"/>
      <c r="M9" s="96"/>
      <c r="N9" s="97"/>
      <c r="V9" s="453"/>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CD9" s="56"/>
      <c r="CE9" s="56"/>
    </row>
    <row r="10" spans="2:83" s="63" customFormat="1" ht="30" customHeight="1" x14ac:dyDescent="0.4">
      <c r="B10" s="62"/>
      <c r="C10" s="62"/>
      <c r="D10" s="62"/>
      <c r="E10" s="62"/>
      <c r="F10" s="62"/>
      <c r="G10" s="62"/>
      <c r="H10" s="62"/>
      <c r="I10" s="62"/>
      <c r="J10" s="62"/>
      <c r="K10" s="62"/>
      <c r="L10" s="62"/>
      <c r="M10" s="57"/>
      <c r="V10" s="453"/>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CD10" s="56"/>
      <c r="CE10" s="56"/>
    </row>
    <row r="11" spans="2:83" s="63" customFormat="1" ht="30" customHeight="1" thickBot="1" x14ac:dyDescent="0.45">
      <c r="B11" s="62"/>
      <c r="C11" s="62"/>
      <c r="D11" s="62"/>
      <c r="E11" s="62"/>
      <c r="F11" s="62"/>
      <c r="G11" s="62"/>
      <c r="H11" s="62"/>
      <c r="I11" s="62"/>
      <c r="J11" s="62"/>
      <c r="K11" s="62"/>
      <c r="L11" s="62"/>
      <c r="M11" s="57"/>
      <c r="V11" s="453"/>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CD11" s="56"/>
      <c r="CE11" s="56"/>
    </row>
    <row r="12" spans="2:83" s="63" customFormat="1" ht="30" customHeight="1" x14ac:dyDescent="0.4">
      <c r="B12" s="62"/>
      <c r="C12" s="926" t="s">
        <v>187</v>
      </c>
      <c r="D12" s="927"/>
      <c r="E12" s="927"/>
      <c r="F12" s="927"/>
      <c r="G12" s="927"/>
      <c r="H12" s="927"/>
      <c r="I12" s="927"/>
      <c r="J12" s="927"/>
      <c r="K12" s="927"/>
      <c r="L12" s="928"/>
      <c r="M12" s="57"/>
      <c r="N12" s="56"/>
      <c r="V12" s="453"/>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CD12" s="56"/>
      <c r="CE12" s="56"/>
    </row>
    <row r="13" spans="2:83" ht="30" customHeight="1" thickBot="1" x14ac:dyDescent="0.4">
      <c r="B13" s="62"/>
      <c r="C13" s="929"/>
      <c r="D13" s="930"/>
      <c r="E13" s="930"/>
      <c r="F13" s="930"/>
      <c r="G13" s="930"/>
      <c r="H13" s="930"/>
      <c r="I13" s="930"/>
      <c r="J13" s="930"/>
      <c r="K13" s="930"/>
      <c r="L13" s="931"/>
      <c r="M13" s="57"/>
    </row>
    <row r="14" spans="2:83" ht="30" customHeight="1" x14ac:dyDescent="0.35">
      <c r="B14" s="62"/>
      <c r="C14" s="917" t="s">
        <v>106</v>
      </c>
      <c r="D14" s="919" t="s">
        <v>3</v>
      </c>
      <c r="E14" s="919" t="s">
        <v>8</v>
      </c>
      <c r="F14" s="919" t="s">
        <v>1</v>
      </c>
      <c r="G14" s="921" t="s">
        <v>454</v>
      </c>
      <c r="H14" s="921" t="s">
        <v>455</v>
      </c>
      <c r="I14" s="919" t="s">
        <v>247</v>
      </c>
      <c r="J14" s="919" t="s">
        <v>342</v>
      </c>
      <c r="K14" s="923" t="s">
        <v>244</v>
      </c>
      <c r="L14" s="954" t="s">
        <v>248</v>
      </c>
      <c r="M14" s="57"/>
    </row>
    <row r="15" spans="2:83" ht="30" customHeight="1" thickBot="1" x14ac:dyDescent="0.4">
      <c r="B15" s="62"/>
      <c r="C15" s="918"/>
      <c r="D15" s="920"/>
      <c r="E15" s="920"/>
      <c r="F15" s="920"/>
      <c r="G15" s="922"/>
      <c r="H15" s="922"/>
      <c r="I15" s="920"/>
      <c r="J15" s="920"/>
      <c r="K15" s="924"/>
      <c r="L15" s="955"/>
      <c r="M15" s="57"/>
    </row>
    <row r="16" spans="2:83" ht="30" customHeight="1" x14ac:dyDescent="0.35">
      <c r="B16" s="62"/>
      <c r="C16" s="59"/>
      <c r="D16" s="60"/>
      <c r="E16" s="60"/>
      <c r="F16" s="60"/>
      <c r="G16" s="60"/>
      <c r="H16" s="60"/>
      <c r="I16" s="60"/>
      <c r="J16" s="60"/>
      <c r="K16" s="60"/>
      <c r="L16" s="61"/>
      <c r="M16" s="57"/>
    </row>
    <row r="17" spans="2:46" ht="30" customHeight="1" x14ac:dyDescent="0.35">
      <c r="B17" s="62"/>
      <c r="C17" s="206">
        <v>1</v>
      </c>
      <c r="D17" s="554"/>
      <c r="E17" s="554"/>
      <c r="F17" s="554"/>
      <c r="G17" s="265"/>
      <c r="H17" s="554"/>
      <c r="I17" s="554"/>
      <c r="J17" s="554"/>
      <c r="K17" s="262">
        <f>J8</f>
        <v>0</v>
      </c>
      <c r="L17" s="263">
        <f>K8</f>
        <v>0</v>
      </c>
      <c r="M17" s="57"/>
    </row>
    <row r="18" spans="2:46" ht="30" customHeight="1" thickBot="1" x14ac:dyDescent="0.4">
      <c r="B18" s="62"/>
      <c r="C18" s="66"/>
      <c r="D18" s="67"/>
      <c r="E18" s="67"/>
      <c r="F18" s="67"/>
      <c r="G18" s="68"/>
      <c r="H18" s="68"/>
      <c r="I18" s="67"/>
      <c r="J18" s="67"/>
      <c r="K18" s="68"/>
      <c r="L18" s="69"/>
      <c r="M18" s="57"/>
    </row>
    <row r="19" spans="2:46" ht="30" customHeight="1" x14ac:dyDescent="0.35">
      <c r="B19" s="62"/>
      <c r="C19" s="62"/>
      <c r="D19" s="62"/>
      <c r="E19" s="62"/>
      <c r="F19" s="62"/>
      <c r="G19" s="62"/>
      <c r="H19" s="62"/>
      <c r="I19" s="62"/>
      <c r="J19" s="62"/>
      <c r="K19" s="62"/>
      <c r="L19" s="62"/>
      <c r="M19" s="57"/>
    </row>
    <row r="20" spans="2:46" ht="30" customHeight="1" x14ac:dyDescent="0.35">
      <c r="B20" s="62"/>
      <c r="C20" s="62"/>
      <c r="D20" s="62"/>
      <c r="E20" s="62"/>
      <c r="F20" s="62"/>
      <c r="G20" s="62"/>
      <c r="H20" s="62"/>
      <c r="I20" s="62"/>
      <c r="J20" s="62"/>
      <c r="K20" s="62"/>
      <c r="L20" s="62"/>
      <c r="M20" s="57"/>
      <c r="AS20" s="62"/>
      <c r="AT20" s="57"/>
    </row>
    <row r="21" spans="2:46" ht="30" customHeight="1" x14ac:dyDescent="0.35">
      <c r="B21" s="62"/>
      <c r="C21" s="62"/>
      <c r="D21" s="62"/>
      <c r="E21" s="62"/>
      <c r="F21" s="62"/>
      <c r="G21" s="62"/>
      <c r="H21" s="62"/>
      <c r="I21" s="62"/>
      <c r="J21" s="62"/>
      <c r="K21" s="62"/>
      <c r="L21" s="62"/>
      <c r="M21" s="57"/>
      <c r="AS21" s="62"/>
      <c r="AT21" s="57"/>
    </row>
    <row r="22" spans="2:46" ht="30" customHeight="1" thickBot="1" x14ac:dyDescent="0.4">
      <c r="B22" s="62"/>
      <c r="C22" s="62"/>
      <c r="D22" s="62"/>
      <c r="E22" s="62"/>
      <c r="F22" s="62"/>
      <c r="G22" s="62"/>
      <c r="H22" s="62"/>
      <c r="I22" s="62"/>
      <c r="J22" s="62"/>
      <c r="K22" s="62"/>
      <c r="L22" s="62"/>
      <c r="M22" s="57"/>
      <c r="AS22" s="62"/>
      <c r="AT22" s="57"/>
    </row>
    <row r="23" spans="2:46" ht="30" customHeight="1" x14ac:dyDescent="0.35">
      <c r="B23" s="62"/>
      <c r="C23" s="926" t="s">
        <v>189</v>
      </c>
      <c r="D23" s="927"/>
      <c r="E23" s="927"/>
      <c r="F23" s="927"/>
      <c r="G23" s="927"/>
      <c r="H23" s="927"/>
      <c r="I23" s="927"/>
      <c r="J23" s="927"/>
      <c r="K23" s="927"/>
      <c r="L23" s="927"/>
      <c r="M23" s="927"/>
      <c r="N23" s="927"/>
      <c r="O23" s="927"/>
      <c r="P23" s="927"/>
      <c r="Q23" s="927"/>
      <c r="R23" s="927"/>
      <c r="S23" s="927"/>
      <c r="T23" s="927"/>
      <c r="U23" s="927"/>
      <c r="V23" s="928"/>
      <c r="AS23" s="62"/>
      <c r="AT23" s="57"/>
    </row>
    <row r="24" spans="2:46" ht="30" customHeight="1" thickBot="1" x14ac:dyDescent="0.4">
      <c r="B24" s="62"/>
      <c r="C24" s="929"/>
      <c r="D24" s="930"/>
      <c r="E24" s="930"/>
      <c r="F24" s="930"/>
      <c r="G24" s="930"/>
      <c r="H24" s="930"/>
      <c r="I24" s="930"/>
      <c r="J24" s="930"/>
      <c r="K24" s="930"/>
      <c r="L24" s="930"/>
      <c r="M24" s="930"/>
      <c r="N24" s="930"/>
      <c r="O24" s="930"/>
      <c r="P24" s="930"/>
      <c r="Q24" s="930"/>
      <c r="R24" s="930"/>
      <c r="S24" s="930"/>
      <c r="T24" s="930"/>
      <c r="U24" s="930"/>
      <c r="V24" s="931"/>
      <c r="AS24" s="62"/>
      <c r="AT24" s="57"/>
    </row>
    <row r="25" spans="2:46" ht="30" customHeight="1" x14ac:dyDescent="0.35">
      <c r="B25" s="62"/>
      <c r="C25" s="946" t="s">
        <v>109</v>
      </c>
      <c r="D25" s="948" t="s">
        <v>0</v>
      </c>
      <c r="E25" s="948" t="s">
        <v>3</v>
      </c>
      <c r="F25" s="948" t="s">
        <v>1</v>
      </c>
      <c r="G25" s="948" t="s">
        <v>110</v>
      </c>
      <c r="H25" s="950" t="s">
        <v>352</v>
      </c>
      <c r="I25" s="950" t="s">
        <v>351</v>
      </c>
      <c r="J25" s="944" t="s">
        <v>456</v>
      </c>
      <c r="K25" s="944" t="s">
        <v>190</v>
      </c>
      <c r="L25" s="944" t="s">
        <v>191</v>
      </c>
      <c r="M25" s="944" t="s">
        <v>353</v>
      </c>
      <c r="N25" s="950" t="s">
        <v>379</v>
      </c>
      <c r="O25" s="944" t="s">
        <v>349</v>
      </c>
      <c r="P25" s="950" t="s">
        <v>350</v>
      </c>
      <c r="Q25" s="314" t="s">
        <v>380</v>
      </c>
      <c r="R25" s="944" t="s">
        <v>457</v>
      </c>
      <c r="S25" s="944" t="s">
        <v>501</v>
      </c>
      <c r="T25" s="944" t="s">
        <v>111</v>
      </c>
      <c r="U25" s="939" t="s">
        <v>90</v>
      </c>
      <c r="V25" s="944" t="s">
        <v>381</v>
      </c>
      <c r="AS25" s="62"/>
    </row>
    <row r="26" spans="2:46" ht="42.75" customHeight="1" thickBot="1" x14ac:dyDescent="0.4">
      <c r="B26" s="62"/>
      <c r="C26" s="947"/>
      <c r="D26" s="949"/>
      <c r="E26" s="949"/>
      <c r="F26" s="949"/>
      <c r="G26" s="949"/>
      <c r="H26" s="951"/>
      <c r="I26" s="951"/>
      <c r="J26" s="945"/>
      <c r="K26" s="945"/>
      <c r="L26" s="945"/>
      <c r="M26" s="945"/>
      <c r="N26" s="951"/>
      <c r="O26" s="945"/>
      <c r="P26" s="951"/>
      <c r="Q26" s="376" t="s">
        <v>404</v>
      </c>
      <c r="R26" s="945"/>
      <c r="S26" s="945"/>
      <c r="T26" s="945"/>
      <c r="U26" s="940"/>
      <c r="V26" s="945"/>
      <c r="AS26" s="62"/>
    </row>
    <row r="27" spans="2:46" ht="30" customHeight="1" thickBot="1" x14ac:dyDescent="0.4">
      <c r="B27" s="62"/>
      <c r="C27" s="611"/>
      <c r="D27" s="612"/>
      <c r="E27" s="612"/>
      <c r="F27" s="612"/>
      <c r="G27" s="612"/>
      <c r="H27" s="612"/>
      <c r="I27" s="612"/>
      <c r="J27" s="612"/>
      <c r="K27" s="612"/>
      <c r="L27" s="612"/>
      <c r="M27" s="613"/>
      <c r="N27" s="612"/>
      <c r="O27" s="614"/>
      <c r="P27" s="614"/>
      <c r="Q27" s="612"/>
      <c r="R27" s="614"/>
      <c r="S27" s="612"/>
      <c r="T27" s="614"/>
      <c r="U27" s="615"/>
      <c r="V27" s="603"/>
      <c r="AS27" s="62"/>
    </row>
    <row r="28" spans="2:46" ht="30" customHeight="1" x14ac:dyDescent="0.35">
      <c r="B28" s="936" t="s">
        <v>324</v>
      </c>
      <c r="C28" s="118" t="s">
        <v>306</v>
      </c>
      <c r="D28" s="107" t="s">
        <v>188</v>
      </c>
      <c r="E28" s="107" t="s">
        <v>170</v>
      </c>
      <c r="F28" s="107">
        <v>27696</v>
      </c>
      <c r="G28" s="107" t="s">
        <v>171</v>
      </c>
      <c r="H28" s="107">
        <v>4694</v>
      </c>
      <c r="I28" s="269">
        <v>44077</v>
      </c>
      <c r="J28" s="107">
        <v>5</v>
      </c>
      <c r="K28" s="107">
        <v>1</v>
      </c>
      <c r="L28" s="107">
        <v>1</v>
      </c>
      <c r="M28" s="268">
        <v>7.0000000000000007E-2</v>
      </c>
      <c r="N28" s="110">
        <v>7.0000000000000007E-2</v>
      </c>
      <c r="O28" s="609">
        <f>J28+(M28)/1000</f>
        <v>5.00007</v>
      </c>
      <c r="P28" s="123">
        <f>J28+(N28)/1000</f>
        <v>5.00007</v>
      </c>
      <c r="Q28" s="267">
        <f>(P28-O28)/SQRT(3)*1000</f>
        <v>0</v>
      </c>
      <c r="R28" s="110">
        <v>0.05</v>
      </c>
      <c r="S28" s="108">
        <f>(0.34848*((752.2+752.9)/2)-0.009024*((47+54.1)/2)*EXP(0.0612*((19.7+21.3)/2)))/(273.15+((19.7+21.3)/2))</f>
        <v>0.88761831143467929</v>
      </c>
      <c r="T28" s="107" t="s">
        <v>192</v>
      </c>
      <c r="U28" s="601" t="s">
        <v>240</v>
      </c>
      <c r="V28" s="862">
        <v>2</v>
      </c>
      <c r="AS28" s="62"/>
    </row>
    <row r="29" spans="2:46" ht="30" customHeight="1" x14ac:dyDescent="0.35">
      <c r="B29" s="937"/>
      <c r="C29" s="118" t="s">
        <v>307</v>
      </c>
      <c r="D29" s="107" t="s">
        <v>188</v>
      </c>
      <c r="E29" s="107" t="s">
        <v>170</v>
      </c>
      <c r="F29" s="107">
        <v>27696</v>
      </c>
      <c r="G29" s="107" t="s">
        <v>171</v>
      </c>
      <c r="H29" s="107">
        <f>$H$28</f>
        <v>4694</v>
      </c>
      <c r="I29" s="269">
        <f>$I$28</f>
        <v>44077</v>
      </c>
      <c r="J29" s="107">
        <v>200</v>
      </c>
      <c r="K29" s="107">
        <v>2</v>
      </c>
      <c r="L29" s="107">
        <v>2</v>
      </c>
      <c r="M29" s="268">
        <v>0.1</v>
      </c>
      <c r="N29" s="107">
        <v>0.1</v>
      </c>
      <c r="O29" s="564">
        <f t="shared" ref="O29:O89" si="0">J29+(M29)/1000</f>
        <v>200.0001</v>
      </c>
      <c r="P29" s="119">
        <f t="shared" ref="P29:P32" si="1">J29+(N29)/1000</f>
        <v>200.0001</v>
      </c>
      <c r="Q29" s="267">
        <f t="shared" ref="Q29:Q32" si="2">(P29-O29)/SQRT(3)*1000</f>
        <v>0</v>
      </c>
      <c r="R29" s="109">
        <v>0.33</v>
      </c>
      <c r="S29" s="108">
        <f>(0.34848*((752.2+752.9)/2)-0.009024*((47+54.1)/2)*EXP(0.0612*((19.7+21.3)/2)))/(273.15+((19.7+21.3)/2))</f>
        <v>0.88761831143467929</v>
      </c>
      <c r="T29" s="107" t="s">
        <v>192</v>
      </c>
      <c r="U29" s="601" t="s">
        <v>240</v>
      </c>
      <c r="V29" s="863"/>
      <c r="AS29" s="62"/>
    </row>
    <row r="30" spans="2:46" ht="30" customHeight="1" x14ac:dyDescent="0.35">
      <c r="B30" s="937"/>
      <c r="C30" s="118" t="s">
        <v>308</v>
      </c>
      <c r="D30" s="107" t="s">
        <v>188</v>
      </c>
      <c r="E30" s="107" t="s">
        <v>170</v>
      </c>
      <c r="F30" s="107">
        <v>27696</v>
      </c>
      <c r="G30" s="107" t="s">
        <v>171</v>
      </c>
      <c r="H30" s="107">
        <f t="shared" ref="H30:H34" si="3">$H$28</f>
        <v>4694</v>
      </c>
      <c r="I30" s="269">
        <f t="shared" ref="I30:I34" si="4">$I$28</f>
        <v>44077</v>
      </c>
      <c r="J30" s="107">
        <v>1000</v>
      </c>
      <c r="K30" s="107">
        <v>5</v>
      </c>
      <c r="L30" s="107">
        <v>5</v>
      </c>
      <c r="M30" s="268">
        <v>-0.6</v>
      </c>
      <c r="N30" s="107">
        <v>-0.6</v>
      </c>
      <c r="O30" s="267">
        <f t="shared" si="0"/>
        <v>999.99940000000004</v>
      </c>
      <c r="P30" s="108">
        <f t="shared" si="1"/>
        <v>999.99940000000004</v>
      </c>
      <c r="Q30" s="267">
        <f t="shared" si="2"/>
        <v>0</v>
      </c>
      <c r="R30" s="109">
        <v>1.6</v>
      </c>
      <c r="S30" s="108">
        <f>(0.34848*((752.2+752.9)/2)-0.009024*((47+54.1)/2)*EXP(0.0612*((19.7+21.3)/2)))/(273.15+((19.7+21.3)/2))</f>
        <v>0.88761831143467929</v>
      </c>
      <c r="T30" s="107" t="s">
        <v>192</v>
      </c>
      <c r="U30" s="601" t="s">
        <v>240</v>
      </c>
      <c r="V30" s="863"/>
      <c r="AS30" s="62"/>
    </row>
    <row r="31" spans="2:46" ht="30" customHeight="1" x14ac:dyDescent="0.35">
      <c r="B31" s="937"/>
      <c r="C31" s="118" t="s">
        <v>309</v>
      </c>
      <c r="D31" s="107" t="s">
        <v>188</v>
      </c>
      <c r="E31" s="107" t="s">
        <v>170</v>
      </c>
      <c r="F31" s="107">
        <v>27696</v>
      </c>
      <c r="G31" s="107" t="s">
        <v>171</v>
      </c>
      <c r="H31" s="107">
        <f t="shared" si="3"/>
        <v>4694</v>
      </c>
      <c r="I31" s="269">
        <f t="shared" si="4"/>
        <v>44077</v>
      </c>
      <c r="J31" s="107">
        <v>2000</v>
      </c>
      <c r="K31" s="107">
        <v>10</v>
      </c>
      <c r="L31" s="107">
        <v>10</v>
      </c>
      <c r="M31" s="268">
        <v>3.5</v>
      </c>
      <c r="N31" s="107">
        <v>3.4</v>
      </c>
      <c r="O31" s="565">
        <f t="shared" si="0"/>
        <v>2000.0035</v>
      </c>
      <c r="P31" s="214">
        <f t="shared" si="1"/>
        <v>2000.0034000000001</v>
      </c>
      <c r="Q31" s="267">
        <f>(P31-O31)/SQRT(3)*1000</f>
        <v>-5.7735026904469904E-2</v>
      </c>
      <c r="R31" s="109">
        <v>3</v>
      </c>
      <c r="S31" s="108">
        <f>(0.34848*((752.2+752.9)/2)-0.009024*((47+54.1)/2)*EXP(0.0612*((19.7+21.3)/2)))/(273.15+((19.7+21.3)/2))</f>
        <v>0.88761831143467929</v>
      </c>
      <c r="T31" s="107" t="s">
        <v>192</v>
      </c>
      <c r="U31" s="601" t="s">
        <v>240</v>
      </c>
      <c r="V31" s="863"/>
      <c r="AS31" s="62"/>
    </row>
    <row r="32" spans="2:46" ht="30" customHeight="1" thickBot="1" x14ac:dyDescent="0.4">
      <c r="B32" s="938"/>
      <c r="C32" s="118" t="s">
        <v>310</v>
      </c>
      <c r="D32" s="107" t="s">
        <v>188</v>
      </c>
      <c r="E32" s="107" t="s">
        <v>170</v>
      </c>
      <c r="F32" s="107">
        <v>27696</v>
      </c>
      <c r="G32" s="107" t="s">
        <v>171</v>
      </c>
      <c r="H32" s="107">
        <f t="shared" si="3"/>
        <v>4694</v>
      </c>
      <c r="I32" s="269">
        <f t="shared" si="4"/>
        <v>44077</v>
      </c>
      <c r="J32" s="107">
        <v>5000</v>
      </c>
      <c r="K32" s="107">
        <v>20</v>
      </c>
      <c r="L32" s="107">
        <v>20</v>
      </c>
      <c r="M32" s="268">
        <v>3.6</v>
      </c>
      <c r="N32" s="107">
        <v>3.4</v>
      </c>
      <c r="O32" s="565">
        <f t="shared" si="0"/>
        <v>5000.0036</v>
      </c>
      <c r="P32" s="214">
        <f t="shared" si="1"/>
        <v>5000.0033999999996</v>
      </c>
      <c r="Q32" s="267">
        <f t="shared" si="2"/>
        <v>-0.11547005407148832</v>
      </c>
      <c r="R32" s="109">
        <v>8</v>
      </c>
      <c r="S32" s="108">
        <f>(0.34848*((752.2+752.9)/2)-0.009024*((47+54.1)/2)*EXP(0.0612*((19.7+21.3)/2)))/(273.15+((19.7+21.3)/2))</f>
        <v>0.88761831143467929</v>
      </c>
      <c r="T32" s="107" t="s">
        <v>192</v>
      </c>
      <c r="U32" s="601" t="s">
        <v>240</v>
      </c>
      <c r="V32" s="863"/>
      <c r="AS32" s="62"/>
    </row>
    <row r="33" spans="2:45" ht="30" customHeight="1" x14ac:dyDescent="0.35">
      <c r="B33" s="71"/>
      <c r="C33" s="118" t="s">
        <v>493</v>
      </c>
      <c r="D33" s="107" t="s">
        <v>188</v>
      </c>
      <c r="E33" s="107" t="s">
        <v>170</v>
      </c>
      <c r="F33" s="107">
        <v>27696</v>
      </c>
      <c r="G33" s="107" t="s">
        <v>171</v>
      </c>
      <c r="H33" s="107">
        <f t="shared" si="3"/>
        <v>4694</v>
      </c>
      <c r="I33" s="269">
        <f t="shared" si="4"/>
        <v>44077</v>
      </c>
      <c r="J33" s="107">
        <v>6000</v>
      </c>
      <c r="K33" s="107">
        <v>50</v>
      </c>
      <c r="L33" s="107">
        <v>50</v>
      </c>
      <c r="M33" s="305">
        <f>M32+M30</f>
        <v>3</v>
      </c>
      <c r="N33" s="107">
        <f>N32+N30</f>
        <v>2.8</v>
      </c>
      <c r="O33" s="565">
        <f>J33+(M33)/1000</f>
        <v>6000.0029999999997</v>
      </c>
      <c r="P33" s="214">
        <f>J33+(N33)/1000</f>
        <v>6000.0028000000002</v>
      </c>
      <c r="Q33" s="267">
        <f>(P33-O33)/SQRT(3)*1000</f>
        <v>-0.1154700535463913</v>
      </c>
      <c r="R33" s="109">
        <f>R32+R30</f>
        <v>9.6</v>
      </c>
      <c r="S33" s="108">
        <f t="shared" ref="S33:S34" si="5">(0.34848*((752.2+752.9)/2)-0.009024*((47+54.1)/2)*EXP(0.0612*((19.7+21.3)/2)))/(273.15+((19.7+21.3)/2))</f>
        <v>0.88761831143467929</v>
      </c>
      <c r="T33" s="107" t="s">
        <v>192</v>
      </c>
      <c r="U33" s="601" t="s">
        <v>240</v>
      </c>
      <c r="V33" s="863"/>
      <c r="AS33" s="62"/>
    </row>
    <row r="34" spans="2:45" ht="30" customHeight="1" thickBot="1" x14ac:dyDescent="0.4">
      <c r="B34" s="71"/>
      <c r="C34" s="118" t="s">
        <v>399</v>
      </c>
      <c r="D34" s="107" t="s">
        <v>188</v>
      </c>
      <c r="E34" s="107" t="s">
        <v>170</v>
      </c>
      <c r="F34" s="107">
        <v>27696</v>
      </c>
      <c r="G34" s="107" t="s">
        <v>171</v>
      </c>
      <c r="H34" s="107">
        <f t="shared" si="3"/>
        <v>4694</v>
      </c>
      <c r="I34" s="269">
        <f t="shared" si="4"/>
        <v>44077</v>
      </c>
      <c r="J34" s="107">
        <v>8200</v>
      </c>
      <c r="K34" s="107">
        <v>100</v>
      </c>
      <c r="L34" s="107">
        <v>100</v>
      </c>
      <c r="M34" s="268">
        <f>M32+M31+M30+M29</f>
        <v>6.6</v>
      </c>
      <c r="N34" s="107">
        <f>N32+N31+N30+N29</f>
        <v>6.3</v>
      </c>
      <c r="O34" s="565">
        <f>J34+(M34)/1000</f>
        <v>8200.0066000000006</v>
      </c>
      <c r="P34" s="214">
        <f>J34+(N34)/1000</f>
        <v>8200.0062999999991</v>
      </c>
      <c r="Q34" s="267">
        <f>(P34-O34)/SQRT(3)*1000</f>
        <v>-0.17320508163232948</v>
      </c>
      <c r="R34" s="109">
        <f>R32+R31+R30+R29</f>
        <v>12.93</v>
      </c>
      <c r="S34" s="108">
        <f t="shared" si="5"/>
        <v>0.88761831143467929</v>
      </c>
      <c r="T34" s="107" t="s">
        <v>192</v>
      </c>
      <c r="U34" s="601" t="s">
        <v>240</v>
      </c>
      <c r="V34" s="864"/>
      <c r="AS34" s="62"/>
    </row>
    <row r="35" spans="2:45" ht="30" customHeight="1" x14ac:dyDescent="0.35">
      <c r="B35" s="71"/>
      <c r="C35" s="377"/>
      <c r="D35" s="319"/>
      <c r="E35" s="319"/>
      <c r="F35" s="319"/>
      <c r="G35" s="319"/>
      <c r="H35" s="319"/>
      <c r="I35" s="321"/>
      <c r="J35" s="319"/>
      <c r="K35" s="319">
        <v>200</v>
      </c>
      <c r="L35" s="319">
        <v>200</v>
      </c>
      <c r="M35" s="319"/>
      <c r="N35" s="319"/>
      <c r="O35" s="324"/>
      <c r="P35" s="322"/>
      <c r="Q35" s="319"/>
      <c r="R35" s="319"/>
      <c r="S35" s="610"/>
      <c r="T35" s="319"/>
      <c r="U35" s="616"/>
      <c r="V35" s="604"/>
      <c r="AS35" s="62"/>
    </row>
    <row r="36" spans="2:45" ht="30" customHeight="1" x14ac:dyDescent="0.35">
      <c r="B36" s="71"/>
      <c r="C36" s="377"/>
      <c r="D36" s="319"/>
      <c r="E36" s="319"/>
      <c r="F36" s="319"/>
      <c r="G36" s="319"/>
      <c r="H36" s="319"/>
      <c r="I36" s="321"/>
      <c r="J36" s="319"/>
      <c r="K36" s="319">
        <v>500</v>
      </c>
      <c r="L36" s="319">
        <v>500</v>
      </c>
      <c r="M36" s="319"/>
      <c r="N36" s="319"/>
      <c r="O36" s="324"/>
      <c r="P36" s="322"/>
      <c r="Q36" s="319"/>
      <c r="R36" s="319"/>
      <c r="S36" s="319"/>
      <c r="T36" s="319"/>
      <c r="U36" s="616"/>
      <c r="V36" s="605"/>
      <c r="AS36" s="62"/>
    </row>
    <row r="37" spans="2:45" ht="30" customHeight="1" thickBot="1" x14ac:dyDescent="0.4">
      <c r="B37" s="62"/>
      <c r="C37" s="617"/>
      <c r="D37" s="618"/>
      <c r="E37" s="618"/>
      <c r="F37" s="618"/>
      <c r="G37" s="618"/>
      <c r="H37" s="618"/>
      <c r="I37" s="618"/>
      <c r="J37" s="618"/>
      <c r="K37" s="619">
        <v>1000</v>
      </c>
      <c r="L37" s="620">
        <v>1000</v>
      </c>
      <c r="M37" s="618"/>
      <c r="N37" s="618"/>
      <c r="O37" s="621"/>
      <c r="P37" s="618"/>
      <c r="Q37" s="618"/>
      <c r="R37" s="618"/>
      <c r="S37" s="622"/>
      <c r="T37" s="618"/>
      <c r="U37" s="623"/>
      <c r="V37" s="606"/>
      <c r="AS37" s="62"/>
    </row>
    <row r="38" spans="2:45" ht="30" customHeight="1" x14ac:dyDescent="0.35">
      <c r="B38" s="942"/>
      <c r="C38" s="113" t="s">
        <v>112</v>
      </c>
      <c r="D38" s="114" t="s">
        <v>113</v>
      </c>
      <c r="E38" s="114" t="s">
        <v>103</v>
      </c>
      <c r="F38" s="114">
        <v>27129360</v>
      </c>
      <c r="G38" s="114" t="s">
        <v>114</v>
      </c>
      <c r="H38" s="114">
        <v>1393</v>
      </c>
      <c r="I38" s="273">
        <v>43228</v>
      </c>
      <c r="J38" s="114">
        <v>1</v>
      </c>
      <c r="K38" s="274">
        <v>2000</v>
      </c>
      <c r="L38" s="114">
        <v>2000</v>
      </c>
      <c r="M38" s="266">
        <v>6.0000000000000001E-3</v>
      </c>
      <c r="N38" s="114">
        <v>8.9999999999999993E-3</v>
      </c>
      <c r="O38" s="320">
        <f t="shared" si="0"/>
        <v>1.000006</v>
      </c>
      <c r="P38" s="115">
        <f t="shared" ref="P38:P69" si="6">J38+(N38)/1000</f>
        <v>1.0000089999999999</v>
      </c>
      <c r="Q38" s="266">
        <f t="shared" ref="Q38:Q69" si="7">(P38-O38)/SQRT(3)*1000</f>
        <v>1.732050807554585E-3</v>
      </c>
      <c r="R38" s="122">
        <v>0.01</v>
      </c>
      <c r="S38" s="117">
        <f>(0.34848*((751.2+755.4)/2)-0.009024*((48.4+57.9)/2)*EXP(0.0612*((19.5+20.7)/2)))/(273.15+((19.5+20.7)/2))</f>
        <v>0.88957844095478944</v>
      </c>
      <c r="T38" s="114" t="s">
        <v>115</v>
      </c>
      <c r="U38" s="600" t="s">
        <v>196</v>
      </c>
      <c r="V38" s="868">
        <v>2</v>
      </c>
      <c r="AS38" s="62"/>
    </row>
    <row r="39" spans="2:45" ht="30" customHeight="1" x14ac:dyDescent="0.35">
      <c r="B39" s="941"/>
      <c r="C39" s="118" t="s">
        <v>116</v>
      </c>
      <c r="D39" s="107" t="s">
        <v>113</v>
      </c>
      <c r="E39" s="107" t="s">
        <v>103</v>
      </c>
      <c r="F39" s="107">
        <v>27129360</v>
      </c>
      <c r="G39" s="107" t="s">
        <v>117</v>
      </c>
      <c r="H39" s="107">
        <v>1393</v>
      </c>
      <c r="I39" s="269">
        <v>43228</v>
      </c>
      <c r="J39" s="107">
        <v>2</v>
      </c>
      <c r="K39" s="270">
        <v>4000</v>
      </c>
      <c r="L39" s="107">
        <v>5000</v>
      </c>
      <c r="M39" s="268">
        <v>6.0000000000000001E-3</v>
      </c>
      <c r="N39" s="124">
        <v>0.01</v>
      </c>
      <c r="O39" s="609">
        <f t="shared" si="0"/>
        <v>2.000006</v>
      </c>
      <c r="P39" s="123">
        <f t="shared" si="6"/>
        <v>2.0000100000000001</v>
      </c>
      <c r="Q39" s="268">
        <f t="shared" si="7"/>
        <v>2.3094010768249114E-3</v>
      </c>
      <c r="R39" s="107">
        <v>1.2E-2</v>
      </c>
      <c r="S39" s="108">
        <f>(0.34848*((751.2+755.4)/2)-0.009024*((48.4+57.9)/2)*EXP(0.0612*((19.5+20.7)/2)))/(273.15+((19.5+20.7)/2))</f>
        <v>0.88957844095478944</v>
      </c>
      <c r="T39" s="107" t="str">
        <f t="shared" ref="T39:T54" si="8">T38</f>
        <v>M-001</v>
      </c>
      <c r="U39" s="601" t="s">
        <v>196</v>
      </c>
      <c r="V39" s="869"/>
      <c r="AS39" s="62"/>
    </row>
    <row r="40" spans="2:45" ht="30" customHeight="1" x14ac:dyDescent="0.35">
      <c r="B40" s="941"/>
      <c r="C40" s="118" t="s">
        <v>266</v>
      </c>
      <c r="D40" s="107" t="s">
        <v>113</v>
      </c>
      <c r="E40" s="107" t="s">
        <v>103</v>
      </c>
      <c r="F40" s="107">
        <v>27129360</v>
      </c>
      <c r="G40" s="107" t="s">
        <v>118</v>
      </c>
      <c r="H40" s="107">
        <v>1393</v>
      </c>
      <c r="I40" s="269">
        <v>43228</v>
      </c>
      <c r="J40" s="107">
        <v>2</v>
      </c>
      <c r="K40" s="270">
        <v>5000</v>
      </c>
      <c r="L40" s="107">
        <v>6000</v>
      </c>
      <c r="M40" s="268">
        <v>1.2999999999999999E-2</v>
      </c>
      <c r="N40" s="107">
        <v>1.7000000000000001E-2</v>
      </c>
      <c r="O40" s="609">
        <f t="shared" si="0"/>
        <v>2.000013</v>
      </c>
      <c r="P40" s="123">
        <f t="shared" si="6"/>
        <v>2.0000170000000002</v>
      </c>
      <c r="Q40" s="268">
        <f t="shared" si="7"/>
        <v>2.3094010768249114E-3</v>
      </c>
      <c r="R40" s="107">
        <v>1.2E-2</v>
      </c>
      <c r="S40" s="108">
        <f>(0.34848*((751.2+755.4)/2)-0.009024*((48.4+57.9)/2)*EXP(0.0612*((19.5+20.7)/2)))/(273.15+((19.5+20.7)/2))</f>
        <v>0.88957844095478944</v>
      </c>
      <c r="T40" s="107" t="str">
        <f t="shared" si="8"/>
        <v>M-001</v>
      </c>
      <c r="U40" s="601" t="s">
        <v>196</v>
      </c>
      <c r="V40" s="869"/>
      <c r="AS40" s="62"/>
    </row>
    <row r="41" spans="2:45" ht="30" customHeight="1" x14ac:dyDescent="0.35">
      <c r="B41" s="941"/>
      <c r="C41" s="118" t="s">
        <v>119</v>
      </c>
      <c r="D41" s="107" t="s">
        <v>113</v>
      </c>
      <c r="E41" s="107" t="s">
        <v>103</v>
      </c>
      <c r="F41" s="107">
        <v>27129360</v>
      </c>
      <c r="G41" s="107" t="s">
        <v>120</v>
      </c>
      <c r="H41" s="107">
        <v>1393</v>
      </c>
      <c r="I41" s="269">
        <v>43228</v>
      </c>
      <c r="J41" s="107">
        <v>5</v>
      </c>
      <c r="K41" s="270">
        <v>10000</v>
      </c>
      <c r="L41" s="107">
        <v>8000</v>
      </c>
      <c r="M41" s="268">
        <v>-2E-3</v>
      </c>
      <c r="N41" s="124">
        <v>2E-3</v>
      </c>
      <c r="O41" s="609">
        <f t="shared" si="0"/>
        <v>4.9999979999999997</v>
      </c>
      <c r="P41" s="123">
        <f t="shared" si="6"/>
        <v>5.0000020000000003</v>
      </c>
      <c r="Q41" s="268">
        <f t="shared" si="7"/>
        <v>2.3094010770813066E-3</v>
      </c>
      <c r="R41" s="107">
        <v>1.6E-2</v>
      </c>
      <c r="S41" s="108">
        <f>(0.34848*((751.2+755.4)/2)-0.009024*((48.4+57.9)/2)*EXP(0.0612*((19.5+20.7)/2)))/(273.15+((19.5+20.7)/2))</f>
        <v>0.88957844095478944</v>
      </c>
      <c r="T41" s="107" t="str">
        <f t="shared" si="8"/>
        <v>M-001</v>
      </c>
      <c r="U41" s="601" t="s">
        <v>196</v>
      </c>
      <c r="V41" s="869"/>
      <c r="AS41" s="62"/>
    </row>
    <row r="42" spans="2:45" ht="30" customHeight="1" x14ac:dyDescent="0.35">
      <c r="B42" s="941"/>
      <c r="C42" s="118" t="s">
        <v>121</v>
      </c>
      <c r="D42" s="107" t="s">
        <v>113</v>
      </c>
      <c r="E42" s="107" t="s">
        <v>103</v>
      </c>
      <c r="F42" s="107">
        <v>27129360</v>
      </c>
      <c r="G42" s="107" t="s">
        <v>122</v>
      </c>
      <c r="H42" s="107">
        <v>1393</v>
      </c>
      <c r="I42" s="269">
        <v>43228</v>
      </c>
      <c r="J42" s="107">
        <v>10</v>
      </c>
      <c r="K42" s="270">
        <v>15000</v>
      </c>
      <c r="L42" s="107">
        <v>8200</v>
      </c>
      <c r="M42" s="268">
        <v>4.0000000000000001E-3</v>
      </c>
      <c r="N42" s="107">
        <v>1.9E-2</v>
      </c>
      <c r="O42" s="609">
        <f t="shared" si="0"/>
        <v>10.000004000000001</v>
      </c>
      <c r="P42" s="123">
        <f t="shared" si="6"/>
        <v>10.000019</v>
      </c>
      <c r="Q42" s="268">
        <f t="shared" si="7"/>
        <v>8.660254037516529E-3</v>
      </c>
      <c r="R42" s="124">
        <v>0.02</v>
      </c>
      <c r="S42" s="108">
        <f t="shared" ref="S42:S54" si="9">(0.34848*((751.2+755.4)/2)-0.009024*((48.4+57.9)/2)*EXP(0.0612*((19.5+20.7)/2)))/(273.15+((19.5+20.7)/2))</f>
        <v>0.88957844095478944</v>
      </c>
      <c r="T42" s="107" t="str">
        <f t="shared" si="8"/>
        <v>M-001</v>
      </c>
      <c r="U42" s="601" t="s">
        <v>196</v>
      </c>
      <c r="V42" s="869"/>
      <c r="AS42" s="62"/>
    </row>
    <row r="43" spans="2:45" ht="30" customHeight="1" x14ac:dyDescent="0.35">
      <c r="B43" s="941"/>
      <c r="C43" s="118" t="s">
        <v>123</v>
      </c>
      <c r="D43" s="107" t="s">
        <v>113</v>
      </c>
      <c r="E43" s="107" t="s">
        <v>103</v>
      </c>
      <c r="F43" s="107">
        <v>27129360</v>
      </c>
      <c r="G43" s="107" t="s">
        <v>124</v>
      </c>
      <c r="H43" s="107">
        <v>1393</v>
      </c>
      <c r="I43" s="269">
        <v>43228</v>
      </c>
      <c r="J43" s="107">
        <v>20</v>
      </c>
      <c r="K43" s="270">
        <v>20000</v>
      </c>
      <c r="L43" s="107">
        <v>10000</v>
      </c>
      <c r="M43" s="268">
        <v>2.7E-2</v>
      </c>
      <c r="N43" s="107">
        <v>2.5999999999999999E-2</v>
      </c>
      <c r="O43" s="609">
        <f t="shared" si="0"/>
        <v>20.000026999999999</v>
      </c>
      <c r="P43" s="123">
        <f t="shared" si="6"/>
        <v>20.000025999999998</v>
      </c>
      <c r="Q43" s="268">
        <f t="shared" si="7"/>
        <v>-5.7735026978311666E-4</v>
      </c>
      <c r="R43" s="107">
        <v>2.5000000000000001E-2</v>
      </c>
      <c r="S43" s="108">
        <f t="shared" si="9"/>
        <v>0.88957844095478944</v>
      </c>
      <c r="T43" s="107" t="str">
        <f t="shared" si="8"/>
        <v>M-001</v>
      </c>
      <c r="U43" s="601" t="s">
        <v>196</v>
      </c>
      <c r="V43" s="869"/>
      <c r="AS43" s="62"/>
    </row>
    <row r="44" spans="2:45" ht="30" customHeight="1" x14ac:dyDescent="0.35">
      <c r="B44" s="941"/>
      <c r="C44" s="118" t="s">
        <v>267</v>
      </c>
      <c r="D44" s="107" t="s">
        <v>113</v>
      </c>
      <c r="E44" s="107" t="s">
        <v>103</v>
      </c>
      <c r="F44" s="107">
        <v>27129360</v>
      </c>
      <c r="G44" s="107" t="s">
        <v>125</v>
      </c>
      <c r="H44" s="107">
        <v>1393</v>
      </c>
      <c r="I44" s="269">
        <v>43228</v>
      </c>
      <c r="J44" s="107">
        <v>20</v>
      </c>
      <c r="K44" s="270">
        <v>25000</v>
      </c>
      <c r="L44" s="107">
        <v>15000</v>
      </c>
      <c r="M44" s="268">
        <v>7.0000000000000001E-3</v>
      </c>
      <c r="N44" s="107">
        <v>7.0000000000000001E-3</v>
      </c>
      <c r="O44" s="609">
        <f t="shared" si="0"/>
        <v>20.000007</v>
      </c>
      <c r="P44" s="123">
        <f t="shared" si="6"/>
        <v>20.000007</v>
      </c>
      <c r="Q44" s="268">
        <f t="shared" si="7"/>
        <v>0</v>
      </c>
      <c r="R44" s="107">
        <v>2.5000000000000001E-2</v>
      </c>
      <c r="S44" s="108">
        <f t="shared" si="9"/>
        <v>0.88957844095478944</v>
      </c>
      <c r="T44" s="107" t="str">
        <f t="shared" si="8"/>
        <v>M-001</v>
      </c>
      <c r="U44" s="601" t="s">
        <v>196</v>
      </c>
      <c r="V44" s="869"/>
      <c r="AS44" s="62"/>
    </row>
    <row r="45" spans="2:45" ht="30" customHeight="1" x14ac:dyDescent="0.35">
      <c r="B45" s="941"/>
      <c r="C45" s="118" t="s">
        <v>126</v>
      </c>
      <c r="D45" s="107" t="s">
        <v>113</v>
      </c>
      <c r="E45" s="107" t="s">
        <v>103</v>
      </c>
      <c r="F45" s="107">
        <v>27129360</v>
      </c>
      <c r="G45" s="107" t="s">
        <v>127</v>
      </c>
      <c r="H45" s="107">
        <v>1393</v>
      </c>
      <c r="I45" s="269">
        <v>43228</v>
      </c>
      <c r="J45" s="107">
        <v>50</v>
      </c>
      <c r="K45" s="270">
        <v>30000</v>
      </c>
      <c r="L45" s="107">
        <v>20000</v>
      </c>
      <c r="M45" s="268">
        <v>0.03</v>
      </c>
      <c r="N45" s="107">
        <v>0.03</v>
      </c>
      <c r="O45" s="609">
        <f t="shared" si="0"/>
        <v>50.000030000000002</v>
      </c>
      <c r="P45" s="119">
        <f t="shared" si="6"/>
        <v>50.000030000000002</v>
      </c>
      <c r="Q45" s="268">
        <f t="shared" si="7"/>
        <v>0</v>
      </c>
      <c r="R45" s="107">
        <v>0.03</v>
      </c>
      <c r="S45" s="108">
        <f t="shared" si="9"/>
        <v>0.88957844095478944</v>
      </c>
      <c r="T45" s="107" t="str">
        <f t="shared" si="8"/>
        <v>M-001</v>
      </c>
      <c r="U45" s="601" t="s">
        <v>196</v>
      </c>
      <c r="V45" s="869"/>
      <c r="AS45" s="62"/>
    </row>
    <row r="46" spans="2:45" ht="30" customHeight="1" x14ac:dyDescent="0.35">
      <c r="B46" s="941"/>
      <c r="C46" s="118" t="s">
        <v>128</v>
      </c>
      <c r="D46" s="107" t="s">
        <v>113</v>
      </c>
      <c r="E46" s="107" t="s">
        <v>103</v>
      </c>
      <c r="F46" s="107">
        <v>27129360</v>
      </c>
      <c r="G46" s="107" t="s">
        <v>129</v>
      </c>
      <c r="H46" s="107">
        <v>1393</v>
      </c>
      <c r="I46" s="269">
        <v>43228</v>
      </c>
      <c r="J46" s="107">
        <v>100</v>
      </c>
      <c r="K46" s="270">
        <v>35000</v>
      </c>
      <c r="L46" s="271">
        <v>25000</v>
      </c>
      <c r="M46" s="268">
        <v>0.06</v>
      </c>
      <c r="N46" s="107">
        <v>0.06</v>
      </c>
      <c r="O46" s="609">
        <f t="shared" si="0"/>
        <v>100.00006</v>
      </c>
      <c r="P46" s="119">
        <f t="shared" si="6"/>
        <v>100.00006</v>
      </c>
      <c r="Q46" s="268">
        <f t="shared" si="7"/>
        <v>0</v>
      </c>
      <c r="R46" s="107">
        <v>0.05</v>
      </c>
      <c r="S46" s="108">
        <f t="shared" si="9"/>
        <v>0.88957844095478944</v>
      </c>
      <c r="T46" s="107" t="str">
        <f t="shared" si="8"/>
        <v>M-001</v>
      </c>
      <c r="U46" s="601" t="s">
        <v>196</v>
      </c>
      <c r="V46" s="869"/>
      <c r="AS46" s="62"/>
    </row>
    <row r="47" spans="2:45" ht="30" customHeight="1" x14ac:dyDescent="0.35">
      <c r="B47" s="941"/>
      <c r="C47" s="118" t="s">
        <v>130</v>
      </c>
      <c r="D47" s="107" t="s">
        <v>113</v>
      </c>
      <c r="E47" s="107" t="s">
        <v>103</v>
      </c>
      <c r="F47" s="107">
        <v>27129360</v>
      </c>
      <c r="G47" s="107" t="s">
        <v>131</v>
      </c>
      <c r="H47" s="107">
        <v>1393</v>
      </c>
      <c r="I47" s="269">
        <v>43228</v>
      </c>
      <c r="J47" s="107">
        <v>200</v>
      </c>
      <c r="K47" s="270">
        <v>40000</v>
      </c>
      <c r="L47" s="271">
        <v>35000</v>
      </c>
      <c r="M47" s="268">
        <v>-0.06</v>
      </c>
      <c r="N47" s="107">
        <v>-7.0000000000000007E-2</v>
      </c>
      <c r="O47" s="609">
        <f t="shared" si="0"/>
        <v>199.99994000000001</v>
      </c>
      <c r="P47" s="119">
        <f t="shared" si="6"/>
        <v>199.99993000000001</v>
      </c>
      <c r="Q47" s="268">
        <f t="shared" si="7"/>
        <v>-5.7735026937288467E-3</v>
      </c>
      <c r="R47" s="110">
        <v>0.1</v>
      </c>
      <c r="S47" s="108">
        <f t="shared" si="9"/>
        <v>0.88957844095478944</v>
      </c>
      <c r="T47" s="107" t="str">
        <f t="shared" si="8"/>
        <v>M-001</v>
      </c>
      <c r="U47" s="601" t="s">
        <v>196</v>
      </c>
      <c r="V47" s="869"/>
      <c r="AS47" s="62"/>
    </row>
    <row r="48" spans="2:45" ht="30" customHeight="1" x14ac:dyDescent="0.35">
      <c r="B48" s="941"/>
      <c r="C48" s="118" t="s">
        <v>268</v>
      </c>
      <c r="D48" s="107" t="s">
        <v>113</v>
      </c>
      <c r="E48" s="107" t="s">
        <v>103</v>
      </c>
      <c r="F48" s="107">
        <v>27129360</v>
      </c>
      <c r="G48" s="107" t="s">
        <v>132</v>
      </c>
      <c r="H48" s="107">
        <v>1393</v>
      </c>
      <c r="I48" s="269">
        <v>43228</v>
      </c>
      <c r="J48" s="107">
        <v>200</v>
      </c>
      <c r="K48" s="270" t="s">
        <v>459</v>
      </c>
      <c r="L48" s="271">
        <v>40000</v>
      </c>
      <c r="M48" s="268">
        <v>0.16</v>
      </c>
      <c r="N48" s="107">
        <v>0.15</v>
      </c>
      <c r="O48" s="609">
        <f t="shared" si="0"/>
        <v>200.00015999999999</v>
      </c>
      <c r="P48" s="119">
        <f t="shared" si="6"/>
        <v>200.00014999999999</v>
      </c>
      <c r="Q48" s="268">
        <f t="shared" si="7"/>
        <v>-5.7735026937288467E-3</v>
      </c>
      <c r="R48" s="110">
        <v>0.1</v>
      </c>
      <c r="S48" s="108">
        <f t="shared" si="9"/>
        <v>0.88957844095478944</v>
      </c>
      <c r="T48" s="107" t="str">
        <f t="shared" si="8"/>
        <v>M-001</v>
      </c>
      <c r="U48" s="601" t="s">
        <v>196</v>
      </c>
      <c r="V48" s="869"/>
      <c r="AS48" s="62"/>
    </row>
    <row r="49" spans="2:48" ht="30" customHeight="1" x14ac:dyDescent="0.35">
      <c r="B49" s="941"/>
      <c r="C49" s="118" t="s">
        <v>133</v>
      </c>
      <c r="D49" s="107" t="s">
        <v>113</v>
      </c>
      <c r="E49" s="107" t="s">
        <v>103</v>
      </c>
      <c r="F49" s="107">
        <v>27129360</v>
      </c>
      <c r="G49" s="107" t="s">
        <v>134</v>
      </c>
      <c r="H49" s="107">
        <v>1393</v>
      </c>
      <c r="I49" s="269">
        <v>43228</v>
      </c>
      <c r="J49" s="107">
        <v>500</v>
      </c>
      <c r="K49" s="270" t="s">
        <v>459</v>
      </c>
      <c r="L49" s="271">
        <v>45000</v>
      </c>
      <c r="M49" s="268">
        <v>0.35</v>
      </c>
      <c r="N49" s="107">
        <v>0.33</v>
      </c>
      <c r="O49" s="609">
        <f t="shared" si="0"/>
        <v>500.00035000000003</v>
      </c>
      <c r="P49" s="119">
        <f t="shared" si="6"/>
        <v>500.00033000000002</v>
      </c>
      <c r="Q49" s="268">
        <f t="shared" si="7"/>
        <v>-1.1547005387457693E-2</v>
      </c>
      <c r="R49" s="107">
        <v>0.25</v>
      </c>
      <c r="S49" s="108">
        <f t="shared" si="9"/>
        <v>0.88957844095478944</v>
      </c>
      <c r="T49" s="107" t="str">
        <f t="shared" si="8"/>
        <v>M-001</v>
      </c>
      <c r="U49" s="601" t="s">
        <v>196</v>
      </c>
      <c r="V49" s="869"/>
      <c r="AS49" s="62"/>
    </row>
    <row r="50" spans="2:48" ht="30" customHeight="1" x14ac:dyDescent="0.35">
      <c r="B50" s="941"/>
      <c r="C50" s="118" t="s">
        <v>135</v>
      </c>
      <c r="D50" s="107" t="s">
        <v>113</v>
      </c>
      <c r="E50" s="107" t="s">
        <v>103</v>
      </c>
      <c r="F50" s="107">
        <v>27129360</v>
      </c>
      <c r="G50" s="107" t="s">
        <v>136</v>
      </c>
      <c r="H50" s="107">
        <v>1393</v>
      </c>
      <c r="I50" s="269">
        <v>43228</v>
      </c>
      <c r="J50" s="270">
        <v>1000</v>
      </c>
      <c r="K50" s="270" t="s">
        <v>459</v>
      </c>
      <c r="L50" s="271">
        <v>50000</v>
      </c>
      <c r="M50" s="268">
        <v>0.7</v>
      </c>
      <c r="N50" s="107">
        <v>0.7</v>
      </c>
      <c r="O50" s="609">
        <f t="shared" si="0"/>
        <v>1000.0007000000001</v>
      </c>
      <c r="P50" s="108">
        <f t="shared" si="6"/>
        <v>1000.0007000000001</v>
      </c>
      <c r="Q50" s="268">
        <f t="shared" si="7"/>
        <v>0</v>
      </c>
      <c r="R50" s="107">
        <v>0.5</v>
      </c>
      <c r="S50" s="108">
        <f t="shared" si="9"/>
        <v>0.88957844095478944</v>
      </c>
      <c r="T50" s="107" t="str">
        <f t="shared" si="8"/>
        <v>M-001</v>
      </c>
      <c r="U50" s="601" t="s">
        <v>196</v>
      </c>
      <c r="V50" s="869"/>
      <c r="AS50" s="62"/>
    </row>
    <row r="51" spans="2:48" ht="30" customHeight="1" x14ac:dyDescent="0.35">
      <c r="B51" s="941"/>
      <c r="C51" s="118" t="s">
        <v>137</v>
      </c>
      <c r="D51" s="107" t="s">
        <v>113</v>
      </c>
      <c r="E51" s="107" t="s">
        <v>103</v>
      </c>
      <c r="F51" s="107">
        <v>27129360</v>
      </c>
      <c r="G51" s="107" t="s">
        <v>138</v>
      </c>
      <c r="H51" s="107">
        <v>1393</v>
      </c>
      <c r="I51" s="269">
        <v>43228</v>
      </c>
      <c r="J51" s="270">
        <v>2000</v>
      </c>
      <c r="K51" s="270" t="s">
        <v>459</v>
      </c>
      <c r="L51" s="271">
        <v>55000</v>
      </c>
      <c r="M51" s="268">
        <v>1.2</v>
      </c>
      <c r="N51" s="107">
        <v>1.1000000000000001</v>
      </c>
      <c r="O51" s="609">
        <f t="shared" si="0"/>
        <v>2000.0011999999999</v>
      </c>
      <c r="P51" s="108">
        <f t="shared" si="6"/>
        <v>2000.0011</v>
      </c>
      <c r="Q51" s="268">
        <f t="shared" si="7"/>
        <v>-5.7735026904469904E-2</v>
      </c>
      <c r="R51" s="109">
        <v>1</v>
      </c>
      <c r="S51" s="108">
        <f t="shared" si="9"/>
        <v>0.88957844095478944</v>
      </c>
      <c r="T51" s="107" t="str">
        <f t="shared" si="8"/>
        <v>M-001</v>
      </c>
      <c r="U51" s="601" t="s">
        <v>196</v>
      </c>
      <c r="V51" s="869"/>
      <c r="AS51" s="62"/>
    </row>
    <row r="52" spans="2:48" ht="30" customHeight="1" x14ac:dyDescent="0.35">
      <c r="B52" s="941"/>
      <c r="C52" s="118" t="s">
        <v>269</v>
      </c>
      <c r="D52" s="107" t="s">
        <v>113</v>
      </c>
      <c r="E52" s="107" t="s">
        <v>103</v>
      </c>
      <c r="F52" s="107">
        <v>27129360</v>
      </c>
      <c r="G52" s="107" t="s">
        <v>139</v>
      </c>
      <c r="H52" s="107">
        <v>1393</v>
      </c>
      <c r="I52" s="269">
        <v>43228</v>
      </c>
      <c r="J52" s="270">
        <v>2000</v>
      </c>
      <c r="K52" s="270" t="s">
        <v>459</v>
      </c>
      <c r="L52" s="271">
        <v>60000</v>
      </c>
      <c r="M52" s="268">
        <v>1.1000000000000001</v>
      </c>
      <c r="N52" s="109">
        <v>1</v>
      </c>
      <c r="O52" s="609">
        <f t="shared" si="0"/>
        <v>2000.0011</v>
      </c>
      <c r="P52" s="108">
        <f t="shared" si="6"/>
        <v>2000.001</v>
      </c>
      <c r="Q52" s="268">
        <f t="shared" si="7"/>
        <v>-5.7735026904469904E-2</v>
      </c>
      <c r="R52" s="109">
        <v>1</v>
      </c>
      <c r="S52" s="108">
        <f t="shared" si="9"/>
        <v>0.88957844095478944</v>
      </c>
      <c r="T52" s="107" t="str">
        <f t="shared" si="8"/>
        <v>M-001</v>
      </c>
      <c r="U52" s="601" t="s">
        <v>196</v>
      </c>
      <c r="V52" s="869"/>
      <c r="AS52" s="62"/>
    </row>
    <row r="53" spans="2:48" ht="30" customHeight="1" x14ac:dyDescent="0.35">
      <c r="B53" s="941"/>
      <c r="C53" s="118" t="s">
        <v>140</v>
      </c>
      <c r="D53" s="107" t="s">
        <v>113</v>
      </c>
      <c r="E53" s="107" t="s">
        <v>103</v>
      </c>
      <c r="F53" s="107">
        <v>27129360</v>
      </c>
      <c r="G53" s="107" t="s">
        <v>141</v>
      </c>
      <c r="H53" s="107">
        <v>1393</v>
      </c>
      <c r="I53" s="269">
        <v>43228</v>
      </c>
      <c r="J53" s="270">
        <v>5000</v>
      </c>
      <c r="K53" s="270" t="s">
        <v>459</v>
      </c>
      <c r="L53" s="270" t="s">
        <v>459</v>
      </c>
      <c r="M53" s="268">
        <v>3.7</v>
      </c>
      <c r="N53" s="107">
        <v>3.5</v>
      </c>
      <c r="O53" s="609">
        <f t="shared" si="0"/>
        <v>5000.0037000000002</v>
      </c>
      <c r="P53" s="108">
        <f t="shared" si="6"/>
        <v>5000.0034999999998</v>
      </c>
      <c r="Q53" s="268">
        <f t="shared" si="7"/>
        <v>-0.11547005407148832</v>
      </c>
      <c r="R53" s="107">
        <v>2.5</v>
      </c>
      <c r="S53" s="108">
        <f t="shared" si="9"/>
        <v>0.88957844095478944</v>
      </c>
      <c r="T53" s="107" t="str">
        <f t="shared" si="8"/>
        <v>M-001</v>
      </c>
      <c r="U53" s="601" t="s">
        <v>196</v>
      </c>
      <c r="V53" s="869"/>
      <c r="AS53" s="62"/>
    </row>
    <row r="54" spans="2:48" ht="30" customHeight="1" thickBot="1" x14ac:dyDescent="0.4">
      <c r="B54" s="943"/>
      <c r="C54" s="120" t="s">
        <v>142</v>
      </c>
      <c r="D54" s="111" t="s">
        <v>113</v>
      </c>
      <c r="E54" s="111" t="s">
        <v>103</v>
      </c>
      <c r="F54" s="111">
        <v>27129360</v>
      </c>
      <c r="G54" s="111" t="s">
        <v>143</v>
      </c>
      <c r="H54" s="111">
        <v>1393</v>
      </c>
      <c r="I54" s="272">
        <v>43228</v>
      </c>
      <c r="J54" s="275">
        <v>10000</v>
      </c>
      <c r="K54" s="275" t="s">
        <v>459</v>
      </c>
      <c r="L54" s="275" t="s">
        <v>459</v>
      </c>
      <c r="M54" s="306">
        <v>8.6999999999999993</v>
      </c>
      <c r="N54" s="111">
        <v>8.1999999999999993</v>
      </c>
      <c r="O54" s="624">
        <f t="shared" si="0"/>
        <v>10000.0087</v>
      </c>
      <c r="P54" s="112">
        <f t="shared" si="6"/>
        <v>10000.0082</v>
      </c>
      <c r="Q54" s="306">
        <f t="shared" si="7"/>
        <v>-0.28867513465362377</v>
      </c>
      <c r="R54" s="121">
        <v>5</v>
      </c>
      <c r="S54" s="112">
        <f t="shared" si="9"/>
        <v>0.88957844095478944</v>
      </c>
      <c r="T54" s="111" t="str">
        <f t="shared" si="8"/>
        <v>M-001</v>
      </c>
      <c r="U54" s="602" t="s">
        <v>196</v>
      </c>
      <c r="V54" s="869"/>
      <c r="AS54" s="62"/>
    </row>
    <row r="55" spans="2:48" ht="30" customHeight="1" x14ac:dyDescent="0.35">
      <c r="B55" s="941"/>
      <c r="C55" s="113" t="s">
        <v>144</v>
      </c>
      <c r="D55" s="114" t="s">
        <v>145</v>
      </c>
      <c r="E55" s="114" t="s">
        <v>197</v>
      </c>
      <c r="F55" s="114">
        <v>11119515</v>
      </c>
      <c r="G55" s="114">
        <v>1</v>
      </c>
      <c r="H55" s="114">
        <v>1405</v>
      </c>
      <c r="I55" s="273">
        <v>43252</v>
      </c>
      <c r="J55" s="274">
        <v>1</v>
      </c>
      <c r="K55" s="274" t="s">
        <v>459</v>
      </c>
      <c r="L55" s="274" t="s">
        <v>459</v>
      </c>
      <c r="M55" s="266">
        <v>0.04</v>
      </c>
      <c r="N55" s="114">
        <v>0.04</v>
      </c>
      <c r="O55" s="266">
        <f t="shared" si="0"/>
        <v>1.00004</v>
      </c>
      <c r="P55" s="125">
        <f t="shared" si="6"/>
        <v>1.00004</v>
      </c>
      <c r="Q55" s="266">
        <f t="shared" si="7"/>
        <v>0</v>
      </c>
      <c r="R55" s="114">
        <v>0.03</v>
      </c>
      <c r="S55" s="117">
        <f>(0.34848*((750.7+754.5)/2)-0.009024*((52.2+58.7)/2)*EXP(0.0612*((20+20.6)/2)))/(273.15+((20+20.6)/2))</f>
        <v>0.88782702273489045</v>
      </c>
      <c r="T55" s="114" t="s">
        <v>146</v>
      </c>
      <c r="U55" s="600" t="s">
        <v>196</v>
      </c>
      <c r="V55" s="862">
        <v>2</v>
      </c>
      <c r="AS55" s="62"/>
      <c r="AT55" s="57"/>
      <c r="AU55" s="57"/>
    </row>
    <row r="56" spans="2:48" ht="30" customHeight="1" x14ac:dyDescent="0.35">
      <c r="B56" s="941"/>
      <c r="C56" s="118" t="s">
        <v>147</v>
      </c>
      <c r="D56" s="107" t="s">
        <v>145</v>
      </c>
      <c r="E56" s="107" t="s">
        <v>197</v>
      </c>
      <c r="F56" s="107">
        <v>11119515</v>
      </c>
      <c r="G56" s="107" t="s">
        <v>149</v>
      </c>
      <c r="H56" s="107">
        <v>1405</v>
      </c>
      <c r="I56" s="269">
        <v>43252</v>
      </c>
      <c r="J56" s="270">
        <v>2</v>
      </c>
      <c r="K56" s="270" t="s">
        <v>459</v>
      </c>
      <c r="L56" s="270" t="s">
        <v>459</v>
      </c>
      <c r="M56" s="268">
        <v>0.06</v>
      </c>
      <c r="N56" s="107">
        <v>0.04</v>
      </c>
      <c r="O56" s="268">
        <f t="shared" si="0"/>
        <v>2.0000599999999999</v>
      </c>
      <c r="P56" s="119">
        <f t="shared" si="6"/>
        <v>2.0000399999999998</v>
      </c>
      <c r="Q56" s="268">
        <f t="shared" si="7"/>
        <v>-1.1547005383868162E-2</v>
      </c>
      <c r="R56" s="107">
        <v>0.04</v>
      </c>
      <c r="S56" s="108">
        <f>(0.34848*((750.7+754.5)/2)-0.009024*((52.2+58.7)/2)*EXP(0.0612*((20+20.6)/2)))/(273.15+((20+20.6)/2))</f>
        <v>0.88782702273489045</v>
      </c>
      <c r="T56" s="107" t="str">
        <f t="shared" ref="T56:T70" si="10">T55</f>
        <v>M-002</v>
      </c>
      <c r="U56" s="601" t="s">
        <v>196</v>
      </c>
      <c r="V56" s="863"/>
      <c r="AS56" s="62"/>
      <c r="AT56" s="57"/>
      <c r="AU56" s="57"/>
    </row>
    <row r="57" spans="2:48" ht="30" customHeight="1" x14ac:dyDescent="0.35">
      <c r="B57" s="941"/>
      <c r="C57" s="118" t="s">
        <v>148</v>
      </c>
      <c r="D57" s="107" t="s">
        <v>145</v>
      </c>
      <c r="E57" s="107" t="s">
        <v>197</v>
      </c>
      <c r="F57" s="107">
        <v>11119515</v>
      </c>
      <c r="G57" s="107">
        <v>2</v>
      </c>
      <c r="H57" s="107">
        <v>1405</v>
      </c>
      <c r="I57" s="269">
        <v>43252</v>
      </c>
      <c r="J57" s="270">
        <v>2</v>
      </c>
      <c r="K57" s="270" t="s">
        <v>459</v>
      </c>
      <c r="L57" s="270" t="s">
        <v>459</v>
      </c>
      <c r="M57" s="268">
        <v>0.04</v>
      </c>
      <c r="N57" s="107">
        <v>0.06</v>
      </c>
      <c r="O57" s="268">
        <f t="shared" si="0"/>
        <v>2.0000399999999998</v>
      </c>
      <c r="P57" s="119">
        <f t="shared" si="6"/>
        <v>2.0000599999999999</v>
      </c>
      <c r="Q57" s="268">
        <f t="shared" si="7"/>
        <v>1.1547005383868162E-2</v>
      </c>
      <c r="R57" s="107">
        <v>0.04</v>
      </c>
      <c r="S57" s="108">
        <f t="shared" ref="S57:S70" si="11">(0.34848*((750.7+754.5)/2)-0.009024*((52.2+58.7)/2)*EXP(0.0612*((20+20.6)/2)))/(273.15+((20+20.6)/2))</f>
        <v>0.88782702273489045</v>
      </c>
      <c r="T57" s="107" t="str">
        <f t="shared" si="10"/>
        <v>M-002</v>
      </c>
      <c r="U57" s="601" t="s">
        <v>196</v>
      </c>
      <c r="V57" s="863"/>
      <c r="AS57" s="62"/>
      <c r="AT57" s="57"/>
      <c r="AU57" s="57"/>
    </row>
    <row r="58" spans="2:48" ht="30" customHeight="1" x14ac:dyDescent="0.35">
      <c r="B58" s="941"/>
      <c r="C58" s="118" t="s">
        <v>150</v>
      </c>
      <c r="D58" s="107" t="s">
        <v>145</v>
      </c>
      <c r="E58" s="107" t="s">
        <v>197</v>
      </c>
      <c r="F58" s="107">
        <v>11119515</v>
      </c>
      <c r="G58" s="107">
        <v>5</v>
      </c>
      <c r="H58" s="107">
        <v>1405</v>
      </c>
      <c r="I58" s="269">
        <v>43252</v>
      </c>
      <c r="J58" s="107">
        <v>5</v>
      </c>
      <c r="K58" s="270" t="s">
        <v>459</v>
      </c>
      <c r="L58" s="270" t="s">
        <v>459</v>
      </c>
      <c r="M58" s="268">
        <v>0</v>
      </c>
      <c r="N58" s="110">
        <v>0.01</v>
      </c>
      <c r="O58" s="268">
        <f t="shared" si="0"/>
        <v>5</v>
      </c>
      <c r="P58" s="119">
        <f t="shared" si="6"/>
        <v>5.0000099999999996</v>
      </c>
      <c r="Q58" s="268">
        <f t="shared" si="7"/>
        <v>5.7735026916776863E-3</v>
      </c>
      <c r="R58" s="107">
        <v>0.05</v>
      </c>
      <c r="S58" s="108">
        <f t="shared" si="11"/>
        <v>0.88782702273489045</v>
      </c>
      <c r="T58" s="107" t="str">
        <f t="shared" si="10"/>
        <v>M-002</v>
      </c>
      <c r="U58" s="601" t="s">
        <v>196</v>
      </c>
      <c r="V58" s="863"/>
      <c r="AS58" s="62"/>
      <c r="AT58" s="57"/>
      <c r="AU58" s="57"/>
    </row>
    <row r="59" spans="2:48" ht="30" customHeight="1" x14ac:dyDescent="0.35">
      <c r="B59" s="941"/>
      <c r="C59" s="118" t="s">
        <v>151</v>
      </c>
      <c r="D59" s="107" t="s">
        <v>145</v>
      </c>
      <c r="E59" s="107" t="s">
        <v>197</v>
      </c>
      <c r="F59" s="107">
        <v>11119515</v>
      </c>
      <c r="G59" s="107">
        <v>10</v>
      </c>
      <c r="H59" s="107">
        <v>1405</v>
      </c>
      <c r="I59" s="269">
        <v>43252</v>
      </c>
      <c r="J59" s="107">
        <v>10</v>
      </c>
      <c r="K59" s="270" t="s">
        <v>459</v>
      </c>
      <c r="L59" s="270" t="s">
        <v>459</v>
      </c>
      <c r="M59" s="268">
        <v>0.05</v>
      </c>
      <c r="N59" s="107">
        <v>7.0000000000000007E-2</v>
      </c>
      <c r="O59" s="268">
        <f t="shared" si="0"/>
        <v>10.00005</v>
      </c>
      <c r="P59" s="119">
        <f t="shared" si="6"/>
        <v>10.000069999999999</v>
      </c>
      <c r="Q59" s="268">
        <f t="shared" si="7"/>
        <v>1.1547005383355373E-2</v>
      </c>
      <c r="R59" s="107">
        <v>0.06</v>
      </c>
      <c r="S59" s="108">
        <f t="shared" si="11"/>
        <v>0.88782702273489045</v>
      </c>
      <c r="T59" s="107" t="str">
        <f t="shared" si="10"/>
        <v>M-002</v>
      </c>
      <c r="U59" s="601" t="s">
        <v>196</v>
      </c>
      <c r="V59" s="863"/>
      <c r="AS59" s="62"/>
      <c r="AT59" s="57"/>
      <c r="AU59" s="57"/>
    </row>
    <row r="60" spans="2:48" ht="30" customHeight="1" x14ac:dyDescent="0.35">
      <c r="B60" s="941"/>
      <c r="C60" s="118" t="s">
        <v>153</v>
      </c>
      <c r="D60" s="107" t="s">
        <v>145</v>
      </c>
      <c r="E60" s="107" t="s">
        <v>197</v>
      </c>
      <c r="F60" s="107">
        <v>11119515</v>
      </c>
      <c r="G60" s="107" t="s">
        <v>155</v>
      </c>
      <c r="H60" s="107">
        <v>1405</v>
      </c>
      <c r="I60" s="269">
        <v>43252</v>
      </c>
      <c r="J60" s="107">
        <v>20</v>
      </c>
      <c r="K60" s="270" t="s">
        <v>459</v>
      </c>
      <c r="L60" s="270" t="s">
        <v>459</v>
      </c>
      <c r="M60" s="268">
        <v>7.0000000000000007E-2</v>
      </c>
      <c r="N60" s="107">
        <v>0.08</v>
      </c>
      <c r="O60" s="268">
        <f t="shared" si="0"/>
        <v>20.000070000000001</v>
      </c>
      <c r="P60" s="119">
        <f t="shared" si="6"/>
        <v>20.000080000000001</v>
      </c>
      <c r="Q60" s="268">
        <f t="shared" si="7"/>
        <v>5.7735026916776863E-3</v>
      </c>
      <c r="R60" s="107">
        <v>0.08</v>
      </c>
      <c r="S60" s="108">
        <f t="shared" si="11"/>
        <v>0.88782702273489045</v>
      </c>
      <c r="T60" s="107" t="str">
        <f t="shared" si="10"/>
        <v>M-002</v>
      </c>
      <c r="U60" s="601" t="s">
        <v>196</v>
      </c>
      <c r="V60" s="863"/>
      <c r="AS60" s="62"/>
      <c r="AT60" s="57"/>
      <c r="AU60" s="57"/>
    </row>
    <row r="61" spans="2:48" ht="30" customHeight="1" x14ac:dyDescent="0.35">
      <c r="B61" s="941"/>
      <c r="C61" s="118" t="s">
        <v>154</v>
      </c>
      <c r="D61" s="107" t="s">
        <v>145</v>
      </c>
      <c r="E61" s="107" t="s">
        <v>197</v>
      </c>
      <c r="F61" s="107">
        <v>11119515</v>
      </c>
      <c r="G61" s="107">
        <v>20</v>
      </c>
      <c r="H61" s="107">
        <v>1405</v>
      </c>
      <c r="I61" s="269">
        <v>43252</v>
      </c>
      <c r="J61" s="107">
        <v>20</v>
      </c>
      <c r="K61" s="270" t="s">
        <v>459</v>
      </c>
      <c r="L61" s="270" t="s">
        <v>459</v>
      </c>
      <c r="M61" s="268">
        <v>0.08</v>
      </c>
      <c r="N61" s="107">
        <v>7.0000000000000007E-2</v>
      </c>
      <c r="O61" s="268">
        <f t="shared" si="0"/>
        <v>20.000080000000001</v>
      </c>
      <c r="P61" s="119">
        <f t="shared" si="6"/>
        <v>20.000070000000001</v>
      </c>
      <c r="Q61" s="268">
        <f t="shared" si="7"/>
        <v>-5.7735026916776863E-3</v>
      </c>
      <c r="R61" s="107">
        <v>0.08</v>
      </c>
      <c r="S61" s="108">
        <f t="shared" si="11"/>
        <v>0.88782702273489045</v>
      </c>
      <c r="T61" s="107" t="str">
        <f t="shared" si="10"/>
        <v>M-002</v>
      </c>
      <c r="U61" s="601" t="s">
        <v>196</v>
      </c>
      <c r="V61" s="863"/>
      <c r="AS61" s="62"/>
      <c r="AT61" s="57"/>
      <c r="AU61" s="57"/>
    </row>
    <row r="62" spans="2:48" ht="30" customHeight="1" x14ac:dyDescent="0.35">
      <c r="B62" s="941"/>
      <c r="C62" s="118" t="s">
        <v>156</v>
      </c>
      <c r="D62" s="107" t="s">
        <v>145</v>
      </c>
      <c r="E62" s="107" t="s">
        <v>197</v>
      </c>
      <c r="F62" s="107">
        <v>11119515</v>
      </c>
      <c r="G62" s="107">
        <v>50</v>
      </c>
      <c r="H62" s="107">
        <v>1405</v>
      </c>
      <c r="I62" s="269">
        <v>43252</v>
      </c>
      <c r="J62" s="107">
        <v>50</v>
      </c>
      <c r="K62" s="270" t="s">
        <v>459</v>
      </c>
      <c r="L62" s="270" t="s">
        <v>459</v>
      </c>
      <c r="M62" s="268">
        <v>0.19</v>
      </c>
      <c r="N62" s="107">
        <v>0.13</v>
      </c>
      <c r="O62" s="268">
        <f t="shared" si="0"/>
        <v>50.000190000000003</v>
      </c>
      <c r="P62" s="119">
        <f t="shared" si="6"/>
        <v>50.000129999999999</v>
      </c>
      <c r="Q62" s="268">
        <f t="shared" si="7"/>
        <v>-3.4641016154168439E-2</v>
      </c>
      <c r="R62" s="110">
        <v>0.1</v>
      </c>
      <c r="S62" s="108">
        <f t="shared" si="11"/>
        <v>0.88782702273489045</v>
      </c>
      <c r="T62" s="107" t="str">
        <f t="shared" si="10"/>
        <v>M-002</v>
      </c>
      <c r="U62" s="601" t="s">
        <v>196</v>
      </c>
      <c r="V62" s="863"/>
      <c r="AS62" s="62"/>
      <c r="AT62" s="57"/>
      <c r="AU62" s="57"/>
    </row>
    <row r="63" spans="2:48" ht="30" customHeight="1" x14ac:dyDescent="0.35">
      <c r="B63" s="941"/>
      <c r="C63" s="118" t="s">
        <v>157</v>
      </c>
      <c r="D63" s="107" t="s">
        <v>145</v>
      </c>
      <c r="E63" s="107" t="s">
        <v>197</v>
      </c>
      <c r="F63" s="107">
        <v>11119515</v>
      </c>
      <c r="G63" s="107">
        <v>100</v>
      </c>
      <c r="H63" s="107">
        <v>1405</v>
      </c>
      <c r="I63" s="269">
        <v>43252</v>
      </c>
      <c r="J63" s="107">
        <v>100</v>
      </c>
      <c r="K63" s="270" t="s">
        <v>459</v>
      </c>
      <c r="L63" s="270" t="s">
        <v>459</v>
      </c>
      <c r="M63" s="268">
        <v>0.13</v>
      </c>
      <c r="N63" s="107">
        <v>0.14000000000000001</v>
      </c>
      <c r="O63" s="268">
        <f t="shared" si="0"/>
        <v>100.00013</v>
      </c>
      <c r="P63" s="119">
        <f t="shared" si="6"/>
        <v>100.00014</v>
      </c>
      <c r="Q63" s="268">
        <f t="shared" si="7"/>
        <v>5.7735026937288467E-3</v>
      </c>
      <c r="R63" s="107">
        <v>0.16</v>
      </c>
      <c r="S63" s="108">
        <f t="shared" si="11"/>
        <v>0.88782702273489045</v>
      </c>
      <c r="T63" s="107" t="str">
        <f t="shared" si="10"/>
        <v>M-002</v>
      </c>
      <c r="U63" s="601" t="s">
        <v>196</v>
      </c>
      <c r="V63" s="863"/>
      <c r="AT63" s="62"/>
      <c r="AU63" s="57"/>
      <c r="AV63" s="57"/>
    </row>
    <row r="64" spans="2:48" ht="30" customHeight="1" x14ac:dyDescent="0.35">
      <c r="B64" s="941"/>
      <c r="C64" s="118" t="s">
        <v>158</v>
      </c>
      <c r="D64" s="107" t="s">
        <v>145</v>
      </c>
      <c r="E64" s="107" t="s">
        <v>197</v>
      </c>
      <c r="F64" s="107">
        <v>11119515</v>
      </c>
      <c r="G64" s="107" t="s">
        <v>160</v>
      </c>
      <c r="H64" s="107">
        <v>1405</v>
      </c>
      <c r="I64" s="269">
        <v>43252</v>
      </c>
      <c r="J64" s="107">
        <v>200</v>
      </c>
      <c r="K64" s="270" t="s">
        <v>459</v>
      </c>
      <c r="L64" s="270" t="s">
        <v>459</v>
      </c>
      <c r="M64" s="268">
        <v>0.2</v>
      </c>
      <c r="N64" s="107">
        <v>0.3</v>
      </c>
      <c r="O64" s="268">
        <f t="shared" si="0"/>
        <v>200.00020000000001</v>
      </c>
      <c r="P64" s="108">
        <f t="shared" si="6"/>
        <v>200.00030000000001</v>
      </c>
      <c r="Q64" s="268">
        <f t="shared" si="7"/>
        <v>5.773502692087918E-2</v>
      </c>
      <c r="R64" s="107">
        <v>0.3</v>
      </c>
      <c r="S64" s="108">
        <f t="shared" si="11"/>
        <v>0.88782702273489045</v>
      </c>
      <c r="T64" s="107" t="str">
        <f t="shared" si="10"/>
        <v>M-002</v>
      </c>
      <c r="U64" s="601" t="s">
        <v>196</v>
      </c>
      <c r="V64" s="863"/>
      <c r="AT64" s="62"/>
      <c r="AU64" s="57"/>
      <c r="AV64" s="57"/>
    </row>
    <row r="65" spans="2:50" ht="30" customHeight="1" x14ac:dyDescent="0.35">
      <c r="B65" s="941"/>
      <c r="C65" s="118" t="s">
        <v>159</v>
      </c>
      <c r="D65" s="107" t="s">
        <v>145</v>
      </c>
      <c r="E65" s="107" t="s">
        <v>197</v>
      </c>
      <c r="F65" s="107">
        <v>11119515</v>
      </c>
      <c r="G65" s="107">
        <v>200</v>
      </c>
      <c r="H65" s="107">
        <v>1405</v>
      </c>
      <c r="I65" s="269">
        <v>43252</v>
      </c>
      <c r="J65" s="107">
        <v>200</v>
      </c>
      <c r="K65" s="270" t="s">
        <v>459</v>
      </c>
      <c r="L65" s="270" t="s">
        <v>459</v>
      </c>
      <c r="M65" s="268">
        <v>0.3</v>
      </c>
      <c r="N65" s="107">
        <v>0.2</v>
      </c>
      <c r="O65" s="268">
        <f t="shared" si="0"/>
        <v>200.00030000000001</v>
      </c>
      <c r="P65" s="108">
        <f t="shared" si="6"/>
        <v>200.00020000000001</v>
      </c>
      <c r="Q65" s="268">
        <f t="shared" si="7"/>
        <v>-5.773502692087918E-2</v>
      </c>
      <c r="R65" s="107">
        <v>0.3</v>
      </c>
      <c r="S65" s="108">
        <f t="shared" si="11"/>
        <v>0.88782702273489045</v>
      </c>
      <c r="T65" s="107" t="str">
        <f t="shared" si="10"/>
        <v>M-002</v>
      </c>
      <c r="U65" s="601" t="s">
        <v>196</v>
      </c>
      <c r="V65" s="863"/>
      <c r="AT65" s="62"/>
      <c r="AU65" s="57"/>
      <c r="AV65" s="57"/>
    </row>
    <row r="66" spans="2:50" ht="30" customHeight="1" x14ac:dyDescent="0.35">
      <c r="B66" s="941"/>
      <c r="C66" s="118" t="s">
        <v>161</v>
      </c>
      <c r="D66" s="107" t="s">
        <v>145</v>
      </c>
      <c r="E66" s="107" t="s">
        <v>197</v>
      </c>
      <c r="F66" s="107">
        <v>11119515</v>
      </c>
      <c r="G66" s="107">
        <v>500</v>
      </c>
      <c r="H66" s="107">
        <v>1405</v>
      </c>
      <c r="I66" s="269">
        <v>43252</v>
      </c>
      <c r="J66" s="107">
        <v>500</v>
      </c>
      <c r="K66" s="270" t="s">
        <v>459</v>
      </c>
      <c r="L66" s="270" t="s">
        <v>459</v>
      </c>
      <c r="M66" s="268">
        <v>0.8</v>
      </c>
      <c r="N66" s="107">
        <v>0.8</v>
      </c>
      <c r="O66" s="268">
        <f t="shared" si="0"/>
        <v>500.00080000000003</v>
      </c>
      <c r="P66" s="108">
        <f t="shared" si="6"/>
        <v>500.00080000000003</v>
      </c>
      <c r="Q66" s="268">
        <f t="shared" si="7"/>
        <v>0</v>
      </c>
      <c r="R66" s="107">
        <v>0.8</v>
      </c>
      <c r="S66" s="108">
        <f t="shared" si="11"/>
        <v>0.88782702273489045</v>
      </c>
      <c r="T66" s="107" t="str">
        <f t="shared" si="10"/>
        <v>M-002</v>
      </c>
      <c r="U66" s="601" t="s">
        <v>196</v>
      </c>
      <c r="V66" s="863"/>
      <c r="AI66" s="72"/>
      <c r="AJ66" s="72"/>
      <c r="AK66" s="72"/>
      <c r="AQ66" s="73"/>
      <c r="AR66" s="73"/>
      <c r="AS66" s="62"/>
      <c r="AT66" s="62"/>
      <c r="AU66" s="57"/>
      <c r="AV66" s="57"/>
    </row>
    <row r="67" spans="2:50" ht="30" customHeight="1" x14ac:dyDescent="0.35">
      <c r="B67" s="941"/>
      <c r="C67" s="118" t="s">
        <v>162</v>
      </c>
      <c r="D67" s="107" t="s">
        <v>145</v>
      </c>
      <c r="E67" s="107" t="s">
        <v>197</v>
      </c>
      <c r="F67" s="107">
        <v>11119515</v>
      </c>
      <c r="G67" s="107">
        <v>1</v>
      </c>
      <c r="H67" s="107">
        <v>1405</v>
      </c>
      <c r="I67" s="269">
        <v>43252</v>
      </c>
      <c r="J67" s="270">
        <v>1000</v>
      </c>
      <c r="K67" s="270" t="s">
        <v>459</v>
      </c>
      <c r="L67" s="270" t="s">
        <v>459</v>
      </c>
      <c r="M67" s="268">
        <v>1.9</v>
      </c>
      <c r="N67" s="107">
        <v>1.9</v>
      </c>
      <c r="O67" s="268">
        <f t="shared" si="0"/>
        <v>1000.0019</v>
      </c>
      <c r="P67" s="108">
        <f t="shared" si="6"/>
        <v>1000.0019</v>
      </c>
      <c r="Q67" s="268">
        <f t="shared" si="7"/>
        <v>0</v>
      </c>
      <c r="R67" s="107">
        <v>1.6</v>
      </c>
      <c r="S67" s="108">
        <f t="shared" si="11"/>
        <v>0.88782702273489045</v>
      </c>
      <c r="T67" s="107" t="str">
        <f t="shared" si="10"/>
        <v>M-002</v>
      </c>
      <c r="U67" s="601" t="s">
        <v>196</v>
      </c>
      <c r="V67" s="863"/>
      <c r="AI67" s="74"/>
      <c r="AJ67" s="74"/>
      <c r="AK67" s="74"/>
      <c r="AQ67" s="74"/>
      <c r="AR67" s="74"/>
      <c r="AS67" s="74"/>
      <c r="AT67" s="74"/>
      <c r="AU67" s="74"/>
      <c r="AV67" s="74"/>
      <c r="AW67" s="74"/>
      <c r="AX67" s="74"/>
    </row>
    <row r="68" spans="2:50" ht="30" customHeight="1" x14ac:dyDescent="0.35">
      <c r="B68" s="941"/>
      <c r="C68" s="118" t="s">
        <v>163</v>
      </c>
      <c r="D68" s="107" t="s">
        <v>145</v>
      </c>
      <c r="E68" s="107" t="s">
        <v>197</v>
      </c>
      <c r="F68" s="107">
        <v>11119515</v>
      </c>
      <c r="G68" s="107" t="s">
        <v>149</v>
      </c>
      <c r="H68" s="107">
        <v>1405</v>
      </c>
      <c r="I68" s="269">
        <v>43252</v>
      </c>
      <c r="J68" s="270">
        <v>2000</v>
      </c>
      <c r="K68" s="270" t="s">
        <v>459</v>
      </c>
      <c r="L68" s="270" t="s">
        <v>459</v>
      </c>
      <c r="M68" s="268">
        <v>2.2000000000000002</v>
      </c>
      <c r="N68" s="109">
        <v>1.9</v>
      </c>
      <c r="O68" s="268">
        <f t="shared" si="0"/>
        <v>2000.0021999999999</v>
      </c>
      <c r="P68" s="108">
        <f t="shared" si="6"/>
        <v>2000.0019</v>
      </c>
      <c r="Q68" s="268">
        <f t="shared" si="7"/>
        <v>-0.1732050807134097</v>
      </c>
      <c r="R68" s="109">
        <v>3</v>
      </c>
      <c r="S68" s="108">
        <f t="shared" si="11"/>
        <v>0.88782702273489045</v>
      </c>
      <c r="T68" s="107" t="str">
        <f t="shared" si="10"/>
        <v>M-002</v>
      </c>
      <c r="U68" s="601" t="s">
        <v>196</v>
      </c>
      <c r="V68" s="863"/>
      <c r="AE68" s="74"/>
      <c r="AF68" s="74"/>
      <c r="AG68" s="74"/>
      <c r="AH68" s="74"/>
      <c r="AI68" s="74"/>
      <c r="AJ68" s="74"/>
      <c r="AK68" s="74"/>
      <c r="AQ68" s="74"/>
      <c r="AR68" s="74"/>
      <c r="AS68" s="74"/>
      <c r="AT68" s="74"/>
      <c r="AU68" s="74"/>
      <c r="AV68" s="74"/>
      <c r="AW68" s="74"/>
      <c r="AX68" s="74"/>
    </row>
    <row r="69" spans="2:50" ht="30" customHeight="1" x14ac:dyDescent="0.35">
      <c r="B69" s="941"/>
      <c r="C69" s="118" t="s">
        <v>164</v>
      </c>
      <c r="D69" s="107" t="s">
        <v>145</v>
      </c>
      <c r="E69" s="107" t="s">
        <v>197</v>
      </c>
      <c r="F69" s="107">
        <v>11119515</v>
      </c>
      <c r="G69" s="107">
        <v>2</v>
      </c>
      <c r="H69" s="107">
        <v>1405</v>
      </c>
      <c r="I69" s="269">
        <v>43252</v>
      </c>
      <c r="J69" s="270">
        <v>2000</v>
      </c>
      <c r="K69" s="270" t="s">
        <v>459</v>
      </c>
      <c r="L69" s="270" t="s">
        <v>459</v>
      </c>
      <c r="M69" s="305">
        <v>2</v>
      </c>
      <c r="N69" s="109">
        <v>2.1</v>
      </c>
      <c r="O69" s="268">
        <f t="shared" si="0"/>
        <v>2000.002</v>
      </c>
      <c r="P69" s="108">
        <f t="shared" si="6"/>
        <v>2000.0020999999999</v>
      </c>
      <c r="Q69" s="268">
        <f t="shared" si="7"/>
        <v>5.7735026904469904E-2</v>
      </c>
      <c r="R69" s="109">
        <v>3</v>
      </c>
      <c r="S69" s="108">
        <f t="shared" si="11"/>
        <v>0.88782702273489045</v>
      </c>
      <c r="T69" s="107" t="str">
        <f t="shared" si="10"/>
        <v>M-002</v>
      </c>
      <c r="U69" s="601" t="s">
        <v>196</v>
      </c>
      <c r="V69" s="863"/>
      <c r="AC69" s="74"/>
      <c r="AD69" s="74"/>
      <c r="AE69" s="74"/>
      <c r="AF69" s="74"/>
      <c r="AG69" s="74"/>
      <c r="AH69" s="74"/>
      <c r="AI69" s="74"/>
      <c r="AJ69" s="74"/>
      <c r="AK69" s="74"/>
      <c r="AQ69" s="74"/>
      <c r="AR69" s="74"/>
      <c r="AS69" s="74"/>
      <c r="AT69" s="74"/>
      <c r="AU69" s="74"/>
      <c r="AV69" s="74"/>
      <c r="AW69" s="74"/>
      <c r="AX69" s="74"/>
    </row>
    <row r="70" spans="2:50" ht="30" customHeight="1" thickBot="1" x14ac:dyDescent="0.4">
      <c r="B70" s="941"/>
      <c r="C70" s="120" t="s">
        <v>165</v>
      </c>
      <c r="D70" s="111" t="s">
        <v>145</v>
      </c>
      <c r="E70" s="111" t="s">
        <v>197</v>
      </c>
      <c r="F70" s="111">
        <v>11119515</v>
      </c>
      <c r="G70" s="111">
        <v>5</v>
      </c>
      <c r="H70" s="111">
        <v>1405</v>
      </c>
      <c r="I70" s="272">
        <v>43252</v>
      </c>
      <c r="J70" s="275">
        <v>5000</v>
      </c>
      <c r="K70" s="275" t="s">
        <v>459</v>
      </c>
      <c r="L70" s="275" t="s">
        <v>459</v>
      </c>
      <c r="M70" s="306">
        <v>5.9</v>
      </c>
      <c r="N70" s="111">
        <v>5.8</v>
      </c>
      <c r="O70" s="306">
        <f t="shared" si="0"/>
        <v>5000.0059000000001</v>
      </c>
      <c r="P70" s="112">
        <f t="shared" ref="P70:P89" si="12">J70+(N70)/1000</f>
        <v>5000.0057999999999</v>
      </c>
      <c r="Q70" s="306">
        <f t="shared" ref="Q70:Q89" si="13">(P70-O70)/SQRT(3)*1000</f>
        <v>-5.7735027035744159E-2</v>
      </c>
      <c r="R70" s="121">
        <v>8</v>
      </c>
      <c r="S70" s="112">
        <f t="shared" si="11"/>
        <v>0.88782702273489045</v>
      </c>
      <c r="T70" s="111" t="str">
        <f t="shared" si="10"/>
        <v>M-002</v>
      </c>
      <c r="U70" s="602" t="s">
        <v>196</v>
      </c>
      <c r="V70" s="864"/>
      <c r="AC70" s="74"/>
      <c r="AD70" s="74"/>
      <c r="AE70" s="74"/>
      <c r="AF70" s="74"/>
      <c r="AG70" s="74"/>
      <c r="AH70" s="74"/>
      <c r="AI70" s="74"/>
      <c r="AJ70" s="74"/>
      <c r="AK70" s="74"/>
      <c r="AQ70" s="74"/>
      <c r="AR70" s="74"/>
      <c r="AS70" s="74"/>
      <c r="AT70" s="74"/>
      <c r="AU70" s="74"/>
      <c r="AV70" s="74"/>
      <c r="AW70" s="74"/>
      <c r="AX70" s="74"/>
    </row>
    <row r="71" spans="2:50" ht="30" customHeight="1" x14ac:dyDescent="0.35">
      <c r="B71" s="871"/>
      <c r="C71" s="588" t="s">
        <v>166</v>
      </c>
      <c r="D71" s="589" t="s">
        <v>145</v>
      </c>
      <c r="E71" s="589" t="s">
        <v>197</v>
      </c>
      <c r="F71" s="589">
        <v>11119467</v>
      </c>
      <c r="G71" s="589">
        <v>10</v>
      </c>
      <c r="H71" s="589">
        <v>1500</v>
      </c>
      <c r="I71" s="590">
        <v>43670</v>
      </c>
      <c r="J71" s="591">
        <v>10000</v>
      </c>
      <c r="K71" s="591" t="s">
        <v>459</v>
      </c>
      <c r="L71" s="591" t="s">
        <v>459</v>
      </c>
      <c r="M71" s="589">
        <v>7</v>
      </c>
      <c r="N71" s="589">
        <v>7</v>
      </c>
      <c r="O71" s="589">
        <f t="shared" si="0"/>
        <v>10000.007</v>
      </c>
      <c r="P71" s="592">
        <f t="shared" si="12"/>
        <v>10000.007</v>
      </c>
      <c r="Q71" s="589">
        <f t="shared" si="13"/>
        <v>0</v>
      </c>
      <c r="R71" s="589">
        <v>16</v>
      </c>
      <c r="S71" s="593">
        <f>(0.34848*((752.6+754.6)/2)-0.009024*((54.2+56.2)/2)*EXP(0.0612*((20+20.2)/2)))/(273.15+((20+20.2)/2))</f>
        <v>0.88971909362420276</v>
      </c>
      <c r="T71" s="589" t="s">
        <v>167</v>
      </c>
      <c r="U71" s="626" t="s">
        <v>196</v>
      </c>
      <c r="V71" s="607">
        <v>2</v>
      </c>
      <c r="AC71" s="74"/>
      <c r="AD71" s="74"/>
      <c r="AE71" s="74"/>
      <c r="AF71" s="74"/>
      <c r="AG71" s="74"/>
      <c r="AH71" s="74"/>
      <c r="AI71" s="74"/>
      <c r="AJ71" s="74"/>
      <c r="AK71" s="74"/>
      <c r="AQ71" s="74"/>
      <c r="AR71" s="74"/>
      <c r="AS71" s="74"/>
      <c r="AT71" s="74"/>
      <c r="AU71" s="74"/>
      <c r="AV71" s="74"/>
      <c r="AW71" s="74"/>
      <c r="AX71" s="74"/>
    </row>
    <row r="72" spans="2:50" ht="30" customHeight="1" thickBot="1" x14ac:dyDescent="0.4">
      <c r="B72" s="872"/>
      <c r="C72" s="594" t="s">
        <v>168</v>
      </c>
      <c r="D72" s="595" t="s">
        <v>145</v>
      </c>
      <c r="E72" s="595" t="s">
        <v>197</v>
      </c>
      <c r="F72" s="595">
        <v>11119468</v>
      </c>
      <c r="G72" s="595">
        <v>20</v>
      </c>
      <c r="H72" s="595">
        <v>1504</v>
      </c>
      <c r="I72" s="596">
        <v>43682</v>
      </c>
      <c r="J72" s="597">
        <v>20000</v>
      </c>
      <c r="K72" s="597" t="s">
        <v>459</v>
      </c>
      <c r="L72" s="597" t="s">
        <v>459</v>
      </c>
      <c r="M72" s="595">
        <v>0</v>
      </c>
      <c r="N72" s="595">
        <v>-4</v>
      </c>
      <c r="O72" s="595">
        <f t="shared" si="0"/>
        <v>20000</v>
      </c>
      <c r="P72" s="598">
        <f t="shared" si="12"/>
        <v>19999.995999999999</v>
      </c>
      <c r="Q72" s="595">
        <f t="shared" si="13"/>
        <v>-2.3094010772289901</v>
      </c>
      <c r="R72" s="595">
        <v>30</v>
      </c>
      <c r="S72" s="599">
        <f>(0.34848*((754.3+754.5)/2)-0.009024*((46.7+46.8)/2)*EXP(0.0612*((21.4+21.5)/2)))/(273.15+((21.4+21.5)/2))</f>
        <v>0.88705190473328321</v>
      </c>
      <c r="T72" s="595" t="s">
        <v>169</v>
      </c>
      <c r="U72" s="625" t="s">
        <v>196</v>
      </c>
      <c r="V72" s="608">
        <v>2</v>
      </c>
      <c r="AC72" s="74"/>
      <c r="AD72" s="74"/>
      <c r="AE72" s="74"/>
      <c r="AF72" s="74"/>
      <c r="AG72" s="74"/>
      <c r="AH72" s="74"/>
      <c r="AI72" s="74"/>
      <c r="AJ72" s="74"/>
      <c r="AK72" s="74"/>
      <c r="AQ72" s="74"/>
      <c r="AR72" s="74"/>
      <c r="AS72" s="74"/>
      <c r="AT72" s="74"/>
      <c r="AU72" s="74"/>
      <c r="AV72" s="74"/>
      <c r="AW72" s="74"/>
      <c r="AX72" s="74"/>
    </row>
    <row r="73" spans="2:50" ht="30" customHeight="1" x14ac:dyDescent="0.35">
      <c r="B73" s="865" t="s">
        <v>323</v>
      </c>
      <c r="C73" s="113" t="s">
        <v>311</v>
      </c>
      <c r="D73" s="114" t="s">
        <v>145</v>
      </c>
      <c r="E73" s="114" t="s">
        <v>170</v>
      </c>
      <c r="F73" s="114" t="s">
        <v>198</v>
      </c>
      <c r="G73" s="114" t="s">
        <v>171</v>
      </c>
      <c r="H73" s="114">
        <v>1392</v>
      </c>
      <c r="I73" s="273">
        <v>43228</v>
      </c>
      <c r="J73" s="114">
        <v>1</v>
      </c>
      <c r="K73" s="274" t="s">
        <v>459</v>
      </c>
      <c r="L73" s="274" t="s">
        <v>459</v>
      </c>
      <c r="M73" s="585">
        <v>0.04</v>
      </c>
      <c r="N73" s="116">
        <v>0.04</v>
      </c>
      <c r="O73" s="266">
        <f t="shared" si="0"/>
        <v>1.00004</v>
      </c>
      <c r="P73" s="125">
        <f t="shared" si="12"/>
        <v>1.00004</v>
      </c>
      <c r="Q73" s="266">
        <f t="shared" si="13"/>
        <v>0</v>
      </c>
      <c r="R73" s="116">
        <v>3.3000000000000002E-2</v>
      </c>
      <c r="S73" s="117">
        <f>(0.34848*((751.2+755.7)/2)-0.009024*((48.4+57.9)/2)*EXP(0.0612*((19.5+20.7)/2)))/(273.15+((19.5+20.7)/2))</f>
        <v>0.88975669159417592</v>
      </c>
      <c r="T73" s="114" t="s">
        <v>172</v>
      </c>
      <c r="U73" s="600" t="s">
        <v>196</v>
      </c>
      <c r="V73" s="868">
        <v>2</v>
      </c>
      <c r="AC73" s="74"/>
      <c r="AD73" s="74"/>
      <c r="AE73" s="74"/>
      <c r="AF73" s="74"/>
      <c r="AG73" s="74"/>
      <c r="AH73" s="74"/>
      <c r="AI73" s="74"/>
      <c r="AJ73" s="74"/>
      <c r="AK73" s="74"/>
      <c r="AL73" s="74"/>
      <c r="AM73" s="74"/>
      <c r="AN73" s="74"/>
      <c r="AO73" s="74"/>
      <c r="AP73" s="74"/>
      <c r="AQ73" s="74"/>
      <c r="AR73" s="74"/>
      <c r="AS73" s="74"/>
      <c r="AT73" s="74"/>
      <c r="AU73" s="74"/>
      <c r="AV73" s="74"/>
      <c r="AW73" s="74"/>
      <c r="AX73" s="74"/>
    </row>
    <row r="74" spans="2:50" ht="30" customHeight="1" x14ac:dyDescent="0.35">
      <c r="B74" s="866"/>
      <c r="C74" s="118" t="s">
        <v>312</v>
      </c>
      <c r="D74" s="107" t="s">
        <v>145</v>
      </c>
      <c r="E74" s="107" t="s">
        <v>170</v>
      </c>
      <c r="F74" s="107" t="s">
        <v>198</v>
      </c>
      <c r="G74" s="107" t="s">
        <v>171</v>
      </c>
      <c r="H74" s="107">
        <v>1392</v>
      </c>
      <c r="I74" s="269">
        <v>43228</v>
      </c>
      <c r="J74" s="107">
        <v>2</v>
      </c>
      <c r="K74" s="270" t="s">
        <v>459</v>
      </c>
      <c r="L74" s="270" t="s">
        <v>459</v>
      </c>
      <c r="M74" s="323">
        <v>0.04</v>
      </c>
      <c r="N74" s="110">
        <v>0.04</v>
      </c>
      <c r="O74" s="268">
        <f t="shared" si="0"/>
        <v>2.0000399999999998</v>
      </c>
      <c r="P74" s="119">
        <f t="shared" si="12"/>
        <v>2.0000399999999998</v>
      </c>
      <c r="Q74" s="268">
        <f t="shared" si="13"/>
        <v>0</v>
      </c>
      <c r="R74" s="110">
        <v>0.04</v>
      </c>
      <c r="S74" s="108">
        <f t="shared" ref="S74:S91" si="14">(0.34848*((751.2+755.7)/2)-0.009024*((48.4+57.9)/2)*EXP(0.0612*((19.5+20.7)/2)))/(273.15+((19.5+20.7)/2))</f>
        <v>0.88975669159417592</v>
      </c>
      <c r="T74" s="107" t="str">
        <f t="shared" ref="T74:T86" si="15">T73</f>
        <v>M-016</v>
      </c>
      <c r="U74" s="601" t="s">
        <v>196</v>
      </c>
      <c r="V74" s="869"/>
      <c r="AC74" s="74"/>
      <c r="AD74" s="74"/>
      <c r="AE74" s="74"/>
      <c r="AF74" s="74"/>
      <c r="AG74" s="74"/>
      <c r="AH74" s="74"/>
      <c r="AI74" s="74"/>
      <c r="AJ74" s="74"/>
      <c r="AK74" s="74"/>
      <c r="AL74" s="74"/>
      <c r="AM74" s="74"/>
      <c r="AN74" s="74"/>
      <c r="AO74" s="74"/>
      <c r="AP74" s="74"/>
      <c r="AQ74" s="74"/>
      <c r="AR74" s="74"/>
      <c r="AS74" s="74"/>
      <c r="AT74" s="74"/>
      <c r="AU74" s="74"/>
      <c r="AV74" s="74"/>
      <c r="AW74" s="74"/>
      <c r="AX74" s="74"/>
    </row>
    <row r="75" spans="2:50" ht="30" customHeight="1" x14ac:dyDescent="0.35">
      <c r="B75" s="866"/>
      <c r="C75" s="118" t="s">
        <v>313</v>
      </c>
      <c r="D75" s="107" t="s">
        <v>145</v>
      </c>
      <c r="E75" s="107" t="s">
        <v>170</v>
      </c>
      <c r="F75" s="107" t="s">
        <v>198</v>
      </c>
      <c r="G75" s="107" t="s">
        <v>173</v>
      </c>
      <c r="H75" s="107">
        <v>1392</v>
      </c>
      <c r="I75" s="269">
        <v>43228</v>
      </c>
      <c r="J75" s="107">
        <v>2</v>
      </c>
      <c r="K75" s="270" t="s">
        <v>459</v>
      </c>
      <c r="L75" s="270" t="s">
        <v>459</v>
      </c>
      <c r="M75" s="323">
        <v>5.3999999999999999E-2</v>
      </c>
      <c r="N75" s="107">
        <v>0.05</v>
      </c>
      <c r="O75" s="268">
        <f t="shared" si="0"/>
        <v>2.000054</v>
      </c>
      <c r="P75" s="123">
        <f t="shared" si="12"/>
        <v>2.0000499999999999</v>
      </c>
      <c r="Q75" s="268">
        <f t="shared" si="13"/>
        <v>-2.3094010768249114E-3</v>
      </c>
      <c r="R75" s="110">
        <v>0.04</v>
      </c>
      <c r="S75" s="108">
        <f t="shared" si="14"/>
        <v>0.88975669159417592</v>
      </c>
      <c r="T75" s="107" t="str">
        <f t="shared" si="15"/>
        <v>M-016</v>
      </c>
      <c r="U75" s="601" t="s">
        <v>196</v>
      </c>
      <c r="V75" s="869"/>
      <c r="AC75" s="74"/>
      <c r="AD75" s="74"/>
      <c r="AE75" s="74"/>
      <c r="AF75" s="74"/>
      <c r="AG75" s="74"/>
      <c r="AH75" s="74"/>
      <c r="AI75" s="74"/>
      <c r="AJ75" s="74"/>
      <c r="AK75" s="74"/>
      <c r="AL75" s="74"/>
      <c r="AM75" s="74"/>
      <c r="AN75" s="74"/>
      <c r="AO75" s="74"/>
      <c r="AP75" s="74"/>
      <c r="AQ75" s="74"/>
      <c r="AR75" s="74"/>
      <c r="AS75" s="74"/>
      <c r="AT75" s="74"/>
      <c r="AU75" s="74"/>
      <c r="AV75" s="74"/>
      <c r="AW75" s="74"/>
      <c r="AX75" s="74"/>
    </row>
    <row r="76" spans="2:50" ht="30" customHeight="1" x14ac:dyDescent="0.35">
      <c r="B76" s="866"/>
      <c r="C76" s="118" t="s">
        <v>314</v>
      </c>
      <c r="D76" s="107" t="s">
        <v>145</v>
      </c>
      <c r="E76" s="107" t="s">
        <v>170</v>
      </c>
      <c r="F76" s="107" t="s">
        <v>198</v>
      </c>
      <c r="G76" s="107" t="s">
        <v>171</v>
      </c>
      <c r="H76" s="107">
        <v>1392</v>
      </c>
      <c r="I76" s="269">
        <v>43228</v>
      </c>
      <c r="J76" s="107">
        <v>5</v>
      </c>
      <c r="K76" s="270" t="s">
        <v>459</v>
      </c>
      <c r="L76" s="270" t="s">
        <v>459</v>
      </c>
      <c r="M76" s="268">
        <v>8.7999999999999995E-2</v>
      </c>
      <c r="N76" s="107">
        <v>7.0000000000000007E-2</v>
      </c>
      <c r="O76" s="268">
        <f t="shared" si="0"/>
        <v>5.0000879999999999</v>
      </c>
      <c r="P76" s="123">
        <f t="shared" si="12"/>
        <v>5.00007</v>
      </c>
      <c r="Q76" s="268">
        <f t="shared" si="13"/>
        <v>-1.0392304845327509E-2</v>
      </c>
      <c r="R76" s="110">
        <v>5.2999999999999999E-2</v>
      </c>
      <c r="S76" s="108">
        <f t="shared" si="14"/>
        <v>0.88975669159417592</v>
      </c>
      <c r="T76" s="107" t="str">
        <f t="shared" si="15"/>
        <v>M-016</v>
      </c>
      <c r="U76" s="601" t="s">
        <v>196</v>
      </c>
      <c r="V76" s="869"/>
      <c r="AC76" s="74"/>
      <c r="AD76" s="74"/>
      <c r="AE76" s="74"/>
      <c r="AF76" s="74"/>
      <c r="AG76" s="74"/>
      <c r="AH76" s="74"/>
      <c r="AI76" s="74"/>
      <c r="AJ76" s="74"/>
      <c r="AK76" s="74"/>
      <c r="AL76" s="74"/>
      <c r="AM76" s="74"/>
      <c r="AN76" s="74"/>
      <c r="AO76" s="74"/>
      <c r="AP76" s="74"/>
      <c r="AQ76" s="74"/>
      <c r="AR76" s="74"/>
      <c r="AS76" s="74"/>
      <c r="AT76" s="74"/>
      <c r="AU76" s="74"/>
      <c r="AV76" s="74"/>
      <c r="AW76" s="74"/>
      <c r="AX76" s="74"/>
    </row>
    <row r="77" spans="2:50" ht="30" customHeight="1" x14ac:dyDescent="0.35">
      <c r="B77" s="866"/>
      <c r="C77" s="118" t="s">
        <v>315</v>
      </c>
      <c r="D77" s="107" t="s">
        <v>145</v>
      </c>
      <c r="E77" s="107" t="s">
        <v>170</v>
      </c>
      <c r="F77" s="107" t="s">
        <v>198</v>
      </c>
      <c r="G77" s="107" t="s">
        <v>171</v>
      </c>
      <c r="H77" s="107">
        <v>1392</v>
      </c>
      <c r="I77" s="269">
        <v>43228</v>
      </c>
      <c r="J77" s="107">
        <v>10</v>
      </c>
      <c r="K77" s="270" t="s">
        <v>459</v>
      </c>
      <c r="L77" s="270" t="s">
        <v>459</v>
      </c>
      <c r="M77" s="268">
        <v>8.7999999999999995E-2</v>
      </c>
      <c r="N77" s="107">
        <v>0.09</v>
      </c>
      <c r="O77" s="268">
        <f t="shared" si="0"/>
        <v>10.000088</v>
      </c>
      <c r="P77" s="123">
        <f t="shared" si="12"/>
        <v>10.00009</v>
      </c>
      <c r="Q77" s="268">
        <f t="shared" si="13"/>
        <v>1.1547005385406533E-3</v>
      </c>
      <c r="R77" s="110">
        <v>0.06</v>
      </c>
      <c r="S77" s="108">
        <f t="shared" si="14"/>
        <v>0.88975669159417592</v>
      </c>
      <c r="T77" s="107" t="str">
        <f t="shared" si="15"/>
        <v>M-016</v>
      </c>
      <c r="U77" s="601" t="s">
        <v>196</v>
      </c>
      <c r="V77" s="869"/>
      <c r="AC77" s="74"/>
      <c r="AD77" s="74"/>
      <c r="AE77" s="74"/>
      <c r="AF77" s="74"/>
      <c r="AG77" s="74"/>
      <c r="AH77" s="74"/>
      <c r="AI77" s="74"/>
      <c r="AJ77" s="74"/>
      <c r="AK77" s="74"/>
      <c r="AL77" s="74"/>
      <c r="AM77" s="74"/>
      <c r="AN77" s="74"/>
      <c r="AO77" s="74"/>
      <c r="AP77" s="74"/>
      <c r="AQ77" s="74"/>
      <c r="AR77" s="74"/>
      <c r="AS77" s="74"/>
      <c r="AT77" s="74"/>
      <c r="AU77" s="74"/>
      <c r="AV77" s="74"/>
      <c r="AW77" s="74"/>
      <c r="AX77" s="74"/>
    </row>
    <row r="78" spans="2:50" ht="30" customHeight="1" x14ac:dyDescent="0.35">
      <c r="B78" s="866"/>
      <c r="C78" s="118" t="s">
        <v>316</v>
      </c>
      <c r="D78" s="107" t="s">
        <v>145</v>
      </c>
      <c r="E78" s="107" t="s">
        <v>170</v>
      </c>
      <c r="F78" s="107" t="s">
        <v>198</v>
      </c>
      <c r="G78" s="107" t="s">
        <v>171</v>
      </c>
      <c r="H78" s="107">
        <v>1392</v>
      </c>
      <c r="I78" s="269">
        <v>43228</v>
      </c>
      <c r="J78" s="107">
        <v>20</v>
      </c>
      <c r="K78" s="270" t="s">
        <v>459</v>
      </c>
      <c r="L78" s="270" t="s">
        <v>459</v>
      </c>
      <c r="M78" s="268">
        <v>9.2999999999999999E-2</v>
      </c>
      <c r="N78" s="107">
        <v>0.11</v>
      </c>
      <c r="O78" s="268">
        <f t="shared" si="0"/>
        <v>20.000093</v>
      </c>
      <c r="P78" s="123">
        <f t="shared" si="12"/>
        <v>20.000109999999999</v>
      </c>
      <c r="Q78" s="268">
        <f t="shared" si="13"/>
        <v>9.8149545760571836E-3</v>
      </c>
      <c r="R78" s="110">
        <v>8.3000000000000004E-2</v>
      </c>
      <c r="S78" s="108">
        <f t="shared" si="14"/>
        <v>0.88975669159417592</v>
      </c>
      <c r="T78" s="107" t="str">
        <f t="shared" si="15"/>
        <v>M-016</v>
      </c>
      <c r="U78" s="601" t="s">
        <v>196</v>
      </c>
      <c r="V78" s="869"/>
      <c r="AC78" s="74"/>
      <c r="AD78" s="74"/>
      <c r="AE78" s="74"/>
      <c r="AF78" s="74"/>
      <c r="AG78" s="74"/>
      <c r="AH78" s="74"/>
      <c r="AI78" s="74"/>
      <c r="AJ78" s="74"/>
      <c r="AK78" s="74"/>
      <c r="AL78" s="74"/>
      <c r="AM78" s="74"/>
      <c r="AN78" s="74"/>
      <c r="AO78" s="74"/>
      <c r="AP78" s="74"/>
      <c r="AQ78" s="74"/>
      <c r="AR78" s="74"/>
      <c r="AS78" s="74"/>
      <c r="AT78" s="74"/>
      <c r="AU78" s="74"/>
      <c r="AV78" s="74"/>
      <c r="AW78" s="74"/>
      <c r="AX78" s="74"/>
    </row>
    <row r="79" spans="2:50" ht="30" customHeight="1" x14ac:dyDescent="0.35">
      <c r="B79" s="866"/>
      <c r="C79" s="118" t="s">
        <v>317</v>
      </c>
      <c r="D79" s="107" t="s">
        <v>145</v>
      </c>
      <c r="E79" s="107" t="s">
        <v>170</v>
      </c>
      <c r="F79" s="107" t="s">
        <v>198</v>
      </c>
      <c r="G79" s="107" t="s">
        <v>173</v>
      </c>
      <c r="H79" s="107">
        <v>1392</v>
      </c>
      <c r="I79" s="269">
        <v>43228</v>
      </c>
      <c r="J79" s="107">
        <v>20</v>
      </c>
      <c r="K79" s="270" t="s">
        <v>459</v>
      </c>
      <c r="L79" s="270" t="s">
        <v>459</v>
      </c>
      <c r="M79" s="268">
        <v>9.0999999999999998E-2</v>
      </c>
      <c r="N79" s="110">
        <v>0.1</v>
      </c>
      <c r="O79" s="268">
        <f t="shared" si="0"/>
        <v>20.000091000000001</v>
      </c>
      <c r="P79" s="123">
        <f t="shared" si="12"/>
        <v>20.0001</v>
      </c>
      <c r="Q79" s="268">
        <f t="shared" si="13"/>
        <v>5.1961524218945695E-3</v>
      </c>
      <c r="R79" s="110">
        <v>8.3000000000000004E-2</v>
      </c>
      <c r="S79" s="108">
        <f t="shared" si="14"/>
        <v>0.88975669159417592</v>
      </c>
      <c r="T79" s="107" t="str">
        <f t="shared" si="15"/>
        <v>M-016</v>
      </c>
      <c r="U79" s="601" t="s">
        <v>196</v>
      </c>
      <c r="V79" s="869"/>
      <c r="AC79" s="74"/>
      <c r="AD79" s="74"/>
      <c r="AE79" s="74"/>
      <c r="AF79" s="74"/>
      <c r="AG79" s="74"/>
      <c r="AH79" s="74"/>
      <c r="AI79" s="74"/>
      <c r="AJ79" s="74"/>
      <c r="AK79" s="74"/>
      <c r="AL79" s="74"/>
      <c r="AM79" s="74"/>
      <c r="AN79" s="74"/>
      <c r="AO79" s="74"/>
      <c r="AP79" s="74"/>
      <c r="AQ79" s="74"/>
      <c r="AR79" s="74"/>
      <c r="AS79" s="74"/>
      <c r="AT79" s="74"/>
      <c r="AU79" s="74"/>
      <c r="AV79" s="74"/>
      <c r="AW79" s="74"/>
      <c r="AX79" s="74"/>
    </row>
    <row r="80" spans="2:50" ht="30" customHeight="1" x14ac:dyDescent="0.35">
      <c r="B80" s="866"/>
      <c r="C80" s="118" t="s">
        <v>318</v>
      </c>
      <c r="D80" s="107" t="s">
        <v>145</v>
      </c>
      <c r="E80" s="107" t="s">
        <v>170</v>
      </c>
      <c r="F80" s="107" t="s">
        <v>198</v>
      </c>
      <c r="G80" s="107" t="s">
        <v>171</v>
      </c>
      <c r="H80" s="107">
        <v>1392</v>
      </c>
      <c r="I80" s="269">
        <v>43228</v>
      </c>
      <c r="J80" s="107">
        <v>50</v>
      </c>
      <c r="K80" s="270" t="s">
        <v>459</v>
      </c>
      <c r="L80" s="270" t="s">
        <v>459</v>
      </c>
      <c r="M80" s="268">
        <v>0.08</v>
      </c>
      <c r="N80" s="110">
        <v>0.1</v>
      </c>
      <c r="O80" s="268">
        <f t="shared" si="0"/>
        <v>50.000079999999997</v>
      </c>
      <c r="P80" s="119">
        <f t="shared" si="12"/>
        <v>50.000100000000003</v>
      </c>
      <c r="Q80" s="268">
        <f t="shared" si="13"/>
        <v>1.1547005387457693E-2</v>
      </c>
      <c r="R80" s="110">
        <v>0.1</v>
      </c>
      <c r="S80" s="108">
        <f t="shared" si="14"/>
        <v>0.88975669159417592</v>
      </c>
      <c r="T80" s="107" t="str">
        <f t="shared" si="15"/>
        <v>M-016</v>
      </c>
      <c r="U80" s="601" t="s">
        <v>196</v>
      </c>
      <c r="V80" s="869"/>
      <c r="AC80" s="74"/>
      <c r="AD80" s="74"/>
      <c r="AE80" s="74"/>
      <c r="AF80" s="74"/>
      <c r="AG80" s="74"/>
      <c r="AH80" s="74"/>
      <c r="AI80" s="74"/>
      <c r="AJ80" s="74"/>
      <c r="AK80" s="74"/>
      <c r="AL80" s="74"/>
      <c r="AM80" s="74"/>
      <c r="AN80" s="74"/>
      <c r="AO80" s="74"/>
      <c r="AP80" s="74"/>
      <c r="AQ80" s="74"/>
      <c r="AR80" s="74"/>
      <c r="AS80" s="74"/>
      <c r="AT80" s="74"/>
      <c r="AU80" s="74"/>
      <c r="AV80" s="74"/>
      <c r="AW80" s="74"/>
      <c r="AX80" s="74"/>
    </row>
    <row r="81" spans="2:50" ht="30" customHeight="1" x14ac:dyDescent="0.35">
      <c r="B81" s="866"/>
      <c r="C81" s="118" t="s">
        <v>319</v>
      </c>
      <c r="D81" s="107" t="s">
        <v>145</v>
      </c>
      <c r="E81" s="107" t="s">
        <v>170</v>
      </c>
      <c r="F81" s="107" t="s">
        <v>198</v>
      </c>
      <c r="G81" s="107" t="s">
        <v>171</v>
      </c>
      <c r="H81" s="107">
        <v>1392</v>
      </c>
      <c r="I81" s="269">
        <v>43228</v>
      </c>
      <c r="J81" s="107">
        <v>100</v>
      </c>
      <c r="K81" s="270" t="s">
        <v>459</v>
      </c>
      <c r="L81" s="270" t="s">
        <v>459</v>
      </c>
      <c r="M81" s="268">
        <v>0.08</v>
      </c>
      <c r="N81" s="107">
        <v>0.12</v>
      </c>
      <c r="O81" s="268">
        <f t="shared" si="0"/>
        <v>100.00008</v>
      </c>
      <c r="P81" s="119">
        <f t="shared" si="12"/>
        <v>100.00012</v>
      </c>
      <c r="Q81" s="268">
        <f t="shared" si="13"/>
        <v>2.3094010766710745E-2</v>
      </c>
      <c r="R81" s="107">
        <v>0.16</v>
      </c>
      <c r="S81" s="108">
        <f t="shared" si="14"/>
        <v>0.88975669159417592</v>
      </c>
      <c r="T81" s="107" t="str">
        <f t="shared" si="15"/>
        <v>M-016</v>
      </c>
      <c r="U81" s="601" t="s">
        <v>196</v>
      </c>
      <c r="V81" s="869"/>
      <c r="AC81" s="74"/>
      <c r="AD81" s="74"/>
      <c r="AE81" s="74"/>
      <c r="AF81" s="74"/>
      <c r="AG81" s="74"/>
      <c r="AH81" s="74"/>
      <c r="AI81" s="74"/>
      <c r="AJ81" s="74"/>
      <c r="AK81" s="74"/>
      <c r="AV81" s="74"/>
      <c r="AW81" s="74"/>
      <c r="AX81" s="74"/>
    </row>
    <row r="82" spans="2:50" ht="30" customHeight="1" x14ac:dyDescent="0.35">
      <c r="B82" s="866"/>
      <c r="C82" s="118" t="s">
        <v>320</v>
      </c>
      <c r="D82" s="107" t="s">
        <v>145</v>
      </c>
      <c r="E82" s="107" t="s">
        <v>170</v>
      </c>
      <c r="F82" s="107" t="s">
        <v>198</v>
      </c>
      <c r="G82" s="107" t="s">
        <v>171</v>
      </c>
      <c r="H82" s="107">
        <v>1392</v>
      </c>
      <c r="I82" s="269">
        <v>43228</v>
      </c>
      <c r="J82" s="107">
        <v>200</v>
      </c>
      <c r="K82" s="270" t="s">
        <v>459</v>
      </c>
      <c r="L82" s="270" t="s">
        <v>459</v>
      </c>
      <c r="M82" s="268">
        <v>0.28999999999999998</v>
      </c>
      <c r="N82" s="107">
        <v>0.3</v>
      </c>
      <c r="O82" s="268">
        <f t="shared" si="0"/>
        <v>200.00029000000001</v>
      </c>
      <c r="P82" s="119">
        <f t="shared" si="12"/>
        <v>200.00030000000001</v>
      </c>
      <c r="Q82" s="268">
        <f t="shared" si="13"/>
        <v>5.7735026937288467E-3</v>
      </c>
      <c r="R82" s="109">
        <v>0.33</v>
      </c>
      <c r="S82" s="108">
        <f t="shared" si="14"/>
        <v>0.88975669159417592</v>
      </c>
      <c r="T82" s="107" t="str">
        <f t="shared" si="15"/>
        <v>M-016</v>
      </c>
      <c r="U82" s="601" t="s">
        <v>196</v>
      </c>
      <c r="V82" s="869"/>
      <c r="AC82" s="74"/>
      <c r="AD82" s="74"/>
      <c r="AE82" s="74"/>
      <c r="AF82" s="74"/>
      <c r="AG82" s="74"/>
      <c r="AH82" s="74"/>
      <c r="AI82" s="74"/>
      <c r="AJ82" s="74"/>
      <c r="AK82" s="74"/>
      <c r="AV82" s="74"/>
      <c r="AW82" s="74"/>
      <c r="AX82" s="74"/>
    </row>
    <row r="83" spans="2:50" ht="30" customHeight="1" x14ac:dyDescent="0.35">
      <c r="B83" s="866"/>
      <c r="C83" s="118" t="s">
        <v>321</v>
      </c>
      <c r="D83" s="107" t="s">
        <v>145</v>
      </c>
      <c r="E83" s="107" t="s">
        <v>170</v>
      </c>
      <c r="F83" s="107" t="s">
        <v>198</v>
      </c>
      <c r="G83" s="107" t="s">
        <v>173</v>
      </c>
      <c r="H83" s="107">
        <v>1392</v>
      </c>
      <c r="I83" s="269">
        <v>43228</v>
      </c>
      <c r="J83" s="107">
        <v>200</v>
      </c>
      <c r="K83" s="270" t="s">
        <v>459</v>
      </c>
      <c r="L83" s="270" t="s">
        <v>459</v>
      </c>
      <c r="M83" s="268">
        <v>0.33</v>
      </c>
      <c r="N83" s="107">
        <v>0.4</v>
      </c>
      <c r="O83" s="268">
        <f t="shared" si="0"/>
        <v>200.00032999999999</v>
      </c>
      <c r="P83" s="119">
        <f t="shared" si="12"/>
        <v>200.00040000000001</v>
      </c>
      <c r="Q83" s="268">
        <f t="shared" si="13"/>
        <v>4.0414518856101929E-2</v>
      </c>
      <c r="R83" s="109">
        <v>0.33</v>
      </c>
      <c r="S83" s="108">
        <f t="shared" si="14"/>
        <v>0.88975669159417592</v>
      </c>
      <c r="T83" s="107" t="str">
        <f t="shared" si="15"/>
        <v>M-016</v>
      </c>
      <c r="U83" s="601" t="s">
        <v>196</v>
      </c>
      <c r="V83" s="869"/>
      <c r="AC83" s="74"/>
      <c r="AD83" s="74"/>
      <c r="AE83" s="74"/>
      <c r="AF83" s="74"/>
      <c r="AG83" s="74"/>
      <c r="AH83" s="74"/>
      <c r="AI83" s="74"/>
      <c r="AJ83" s="74"/>
      <c r="AK83" s="74"/>
      <c r="AV83" s="74"/>
      <c r="AW83" s="74"/>
      <c r="AX83" s="74"/>
    </row>
    <row r="84" spans="2:50" ht="30" customHeight="1" x14ac:dyDescent="0.35">
      <c r="B84" s="866"/>
      <c r="C84" s="118" t="s">
        <v>322</v>
      </c>
      <c r="D84" s="107" t="s">
        <v>145</v>
      </c>
      <c r="E84" s="107" t="s">
        <v>170</v>
      </c>
      <c r="F84" s="107" t="s">
        <v>198</v>
      </c>
      <c r="G84" s="107" t="s">
        <v>171</v>
      </c>
      <c r="H84" s="107">
        <v>1392</v>
      </c>
      <c r="I84" s="269">
        <v>43228</v>
      </c>
      <c r="J84" s="107">
        <v>500</v>
      </c>
      <c r="K84" s="270" t="s">
        <v>459</v>
      </c>
      <c r="L84" s="270" t="s">
        <v>459</v>
      </c>
      <c r="M84" s="268">
        <v>0.94</v>
      </c>
      <c r="N84" s="107">
        <v>0.9</v>
      </c>
      <c r="O84" s="268">
        <f t="shared" si="0"/>
        <v>500.00094000000001</v>
      </c>
      <c r="P84" s="119">
        <f t="shared" si="12"/>
        <v>500.0009</v>
      </c>
      <c r="Q84" s="268">
        <f t="shared" si="13"/>
        <v>-2.3094010774915387E-2</v>
      </c>
      <c r="R84" s="109">
        <v>0.83</v>
      </c>
      <c r="S84" s="108">
        <f t="shared" si="14"/>
        <v>0.88975669159417592</v>
      </c>
      <c r="T84" s="107" t="str">
        <f t="shared" si="15"/>
        <v>M-016</v>
      </c>
      <c r="U84" s="601" t="s">
        <v>196</v>
      </c>
      <c r="V84" s="869"/>
      <c r="AC84" s="74"/>
      <c r="AD84" s="74"/>
      <c r="AE84" s="74"/>
      <c r="AF84" s="74"/>
      <c r="AG84" s="74"/>
      <c r="AH84" s="74"/>
      <c r="AI84" s="74"/>
      <c r="AJ84" s="74"/>
      <c r="AK84" s="74"/>
      <c r="AV84" s="74"/>
      <c r="AW84" s="74"/>
      <c r="AX84" s="74"/>
    </row>
    <row r="85" spans="2:50" ht="30" customHeight="1" x14ac:dyDescent="0.35">
      <c r="B85" s="866"/>
      <c r="C85" s="118" t="s">
        <v>500</v>
      </c>
      <c r="D85" s="107" t="s">
        <v>145</v>
      </c>
      <c r="E85" s="107" t="s">
        <v>170</v>
      </c>
      <c r="F85" s="107" t="s">
        <v>198</v>
      </c>
      <c r="G85" s="107" t="s">
        <v>171</v>
      </c>
      <c r="H85" s="107">
        <v>1392</v>
      </c>
      <c r="I85" s="269">
        <v>43228</v>
      </c>
      <c r="J85" s="270">
        <v>1000</v>
      </c>
      <c r="K85" s="270" t="s">
        <v>459</v>
      </c>
      <c r="L85" s="270" t="s">
        <v>459</v>
      </c>
      <c r="M85" s="305">
        <v>0</v>
      </c>
      <c r="N85" s="109">
        <v>-0.5</v>
      </c>
      <c r="O85" s="268">
        <f t="shared" si="0"/>
        <v>1000</v>
      </c>
      <c r="P85" s="108">
        <f t="shared" si="12"/>
        <v>999.99950000000001</v>
      </c>
      <c r="Q85" s="268">
        <f t="shared" si="13"/>
        <v>-0.28867513458798666</v>
      </c>
      <c r="R85" s="107">
        <v>1.6</v>
      </c>
      <c r="S85" s="108">
        <f t="shared" si="14"/>
        <v>0.88975669159417592</v>
      </c>
      <c r="T85" s="107" t="str">
        <f t="shared" si="15"/>
        <v>M-016</v>
      </c>
      <c r="U85" s="601" t="s">
        <v>196</v>
      </c>
      <c r="V85" s="869"/>
      <c r="AC85" s="74"/>
      <c r="AD85" s="74"/>
      <c r="AE85" s="74"/>
      <c r="AF85" s="74"/>
      <c r="AG85" s="74"/>
      <c r="AH85" s="74"/>
      <c r="AI85" s="74"/>
      <c r="AJ85" s="74"/>
      <c r="AK85" s="74"/>
      <c r="AV85" s="74"/>
      <c r="AW85" s="74"/>
      <c r="AX85" s="74"/>
    </row>
    <row r="86" spans="2:50" ht="30" customHeight="1" x14ac:dyDescent="0.35">
      <c r="B86" s="866"/>
      <c r="C86" s="118" t="s">
        <v>499</v>
      </c>
      <c r="D86" s="107" t="s">
        <v>145</v>
      </c>
      <c r="E86" s="107" t="s">
        <v>170</v>
      </c>
      <c r="F86" s="107" t="s">
        <v>198</v>
      </c>
      <c r="G86" s="107" t="s">
        <v>171</v>
      </c>
      <c r="H86" s="107">
        <v>1392</v>
      </c>
      <c r="I86" s="269">
        <v>43228</v>
      </c>
      <c r="J86" s="270">
        <v>2000</v>
      </c>
      <c r="K86" s="270" t="s">
        <v>459</v>
      </c>
      <c r="L86" s="270" t="s">
        <v>459</v>
      </c>
      <c r="M86" s="305">
        <v>3</v>
      </c>
      <c r="N86" s="109">
        <v>3.1</v>
      </c>
      <c r="O86" s="268">
        <f t="shared" si="0"/>
        <v>2000.0029999999999</v>
      </c>
      <c r="P86" s="108">
        <f t="shared" si="12"/>
        <v>2000.0030999999999</v>
      </c>
      <c r="Q86" s="268">
        <f t="shared" si="13"/>
        <v>5.7735026904469904E-2</v>
      </c>
      <c r="R86" s="109">
        <v>3</v>
      </c>
      <c r="S86" s="108">
        <f t="shared" si="14"/>
        <v>0.88975669159417592</v>
      </c>
      <c r="T86" s="107" t="str">
        <f t="shared" si="15"/>
        <v>M-016</v>
      </c>
      <c r="U86" s="601" t="s">
        <v>196</v>
      </c>
      <c r="V86" s="869"/>
      <c r="AC86" s="74"/>
      <c r="AD86" s="74"/>
      <c r="AE86" s="74"/>
      <c r="AF86" s="74"/>
      <c r="AG86" s="74"/>
      <c r="AH86" s="74"/>
      <c r="AI86" s="74"/>
      <c r="AJ86" s="74"/>
      <c r="AK86" s="74"/>
      <c r="AV86" s="74"/>
      <c r="AW86" s="74"/>
      <c r="AX86" s="74"/>
    </row>
    <row r="87" spans="2:50" ht="30" customHeight="1" x14ac:dyDescent="0.35">
      <c r="B87" s="866"/>
      <c r="C87" s="118" t="s">
        <v>498</v>
      </c>
      <c r="D87" s="107" t="s">
        <v>145</v>
      </c>
      <c r="E87" s="107" t="s">
        <v>170</v>
      </c>
      <c r="F87" s="107" t="s">
        <v>198</v>
      </c>
      <c r="G87" s="107" t="s">
        <v>173</v>
      </c>
      <c r="H87" s="107">
        <v>1392</v>
      </c>
      <c r="I87" s="269">
        <v>43228</v>
      </c>
      <c r="J87" s="270">
        <v>2000</v>
      </c>
      <c r="K87" s="270" t="s">
        <v>459</v>
      </c>
      <c r="L87" s="270" t="s">
        <v>459</v>
      </c>
      <c r="M87" s="268">
        <v>3.9</v>
      </c>
      <c r="N87" s="107">
        <v>3.2</v>
      </c>
      <c r="O87" s="268">
        <f t="shared" si="0"/>
        <v>2000.0038999999999</v>
      </c>
      <c r="P87" s="108">
        <f t="shared" si="12"/>
        <v>2000.0032000000001</v>
      </c>
      <c r="Q87" s="268">
        <f t="shared" si="13"/>
        <v>-0.40414518833128932</v>
      </c>
      <c r="R87" s="109">
        <v>3</v>
      </c>
      <c r="S87" s="108">
        <f t="shared" si="14"/>
        <v>0.88975669159417592</v>
      </c>
      <c r="T87" s="107" t="str">
        <f>T86</f>
        <v>M-016</v>
      </c>
      <c r="U87" s="601" t="s">
        <v>196</v>
      </c>
      <c r="V87" s="869"/>
      <c r="AC87" s="74"/>
      <c r="AD87" s="74"/>
      <c r="AE87" s="74"/>
      <c r="AF87" s="74"/>
      <c r="AG87" s="74"/>
      <c r="AH87" s="74"/>
      <c r="AI87" s="74"/>
      <c r="AJ87" s="74"/>
      <c r="AK87" s="74"/>
      <c r="AV87" s="74"/>
      <c r="AW87" s="74"/>
      <c r="AX87" s="74"/>
    </row>
    <row r="88" spans="2:50" ht="30" customHeight="1" x14ac:dyDescent="0.35">
      <c r="B88" s="866"/>
      <c r="C88" s="118" t="s">
        <v>502</v>
      </c>
      <c r="D88" s="107" t="s">
        <v>145</v>
      </c>
      <c r="E88" s="107" t="s">
        <v>170</v>
      </c>
      <c r="F88" s="107" t="s">
        <v>198</v>
      </c>
      <c r="G88" s="107" t="s">
        <v>173</v>
      </c>
      <c r="H88" s="107">
        <v>1392</v>
      </c>
      <c r="I88" s="269">
        <v>43228</v>
      </c>
      <c r="J88" s="270">
        <v>4000</v>
      </c>
      <c r="K88" s="270" t="s">
        <v>459</v>
      </c>
      <c r="L88" s="270" t="s">
        <v>459</v>
      </c>
      <c r="M88" s="305">
        <f>SUM(M86:M87)</f>
        <v>6.9</v>
      </c>
      <c r="N88" s="107">
        <f>SUM(N86:N87)</f>
        <v>6.3000000000000007</v>
      </c>
      <c r="O88" s="267">
        <f>J88+(M88)/1000</f>
        <v>4000.0068999999999</v>
      </c>
      <c r="P88" s="108">
        <f t="shared" si="12"/>
        <v>4000.0063</v>
      </c>
      <c r="Q88" s="268">
        <f t="shared" si="13"/>
        <v>-0.34641016142681941</v>
      </c>
      <c r="R88" s="109">
        <f>R87+R86</f>
        <v>6</v>
      </c>
      <c r="S88" s="108">
        <f t="shared" si="14"/>
        <v>0.88975669159417592</v>
      </c>
      <c r="T88" s="107" t="str">
        <f t="shared" ref="T88:T91" si="16">T87</f>
        <v>M-016</v>
      </c>
      <c r="U88" s="601" t="s">
        <v>196</v>
      </c>
      <c r="V88" s="869"/>
      <c r="AC88" s="74"/>
      <c r="AD88" s="74"/>
      <c r="AE88" s="74"/>
      <c r="AF88" s="74"/>
      <c r="AG88" s="74"/>
      <c r="AH88" s="74"/>
      <c r="AI88" s="74"/>
      <c r="AJ88" s="74"/>
      <c r="AK88" s="74"/>
      <c r="AV88" s="74"/>
      <c r="AW88" s="74"/>
      <c r="AX88" s="74"/>
    </row>
    <row r="89" spans="2:50" ht="30" customHeight="1" x14ac:dyDescent="0.35">
      <c r="B89" s="866"/>
      <c r="C89" s="118" t="s">
        <v>497</v>
      </c>
      <c r="D89" s="107" t="s">
        <v>145</v>
      </c>
      <c r="E89" s="107" t="s">
        <v>170</v>
      </c>
      <c r="F89" s="107" t="s">
        <v>198</v>
      </c>
      <c r="G89" s="107" t="s">
        <v>171</v>
      </c>
      <c r="H89" s="107">
        <v>1392</v>
      </c>
      <c r="I89" s="269">
        <v>43228</v>
      </c>
      <c r="J89" s="270">
        <v>5000</v>
      </c>
      <c r="K89" s="270" t="s">
        <v>459</v>
      </c>
      <c r="L89" s="270" t="s">
        <v>459</v>
      </c>
      <c r="M89" s="268">
        <v>7.7</v>
      </c>
      <c r="N89" s="107">
        <v>7.9</v>
      </c>
      <c r="O89" s="268">
        <f t="shared" si="0"/>
        <v>5000.0077000000001</v>
      </c>
      <c r="P89" s="108">
        <f t="shared" si="12"/>
        <v>5000.0078999999996</v>
      </c>
      <c r="Q89" s="268">
        <f t="shared" si="13"/>
        <v>0.1154700535463913</v>
      </c>
      <c r="R89" s="109">
        <v>8</v>
      </c>
      <c r="S89" s="108">
        <f t="shared" si="14"/>
        <v>0.88975669159417592</v>
      </c>
      <c r="T89" s="107" t="str">
        <f t="shared" si="16"/>
        <v>M-016</v>
      </c>
      <c r="U89" s="601" t="s">
        <v>196</v>
      </c>
      <c r="V89" s="869"/>
      <c r="AC89" s="74"/>
      <c r="AD89" s="74"/>
      <c r="AE89" s="74"/>
      <c r="AF89" s="74"/>
      <c r="AG89" s="74"/>
      <c r="AH89" s="74"/>
      <c r="AI89" s="74"/>
      <c r="AJ89" s="74"/>
      <c r="AK89" s="74"/>
      <c r="AV89" s="74"/>
      <c r="AW89" s="74"/>
      <c r="AX89" s="74"/>
    </row>
    <row r="90" spans="2:50" ht="30" customHeight="1" x14ac:dyDescent="0.35">
      <c r="B90" s="866"/>
      <c r="C90" s="118" t="s">
        <v>496</v>
      </c>
      <c r="D90" s="107" t="s">
        <v>145</v>
      </c>
      <c r="E90" s="107" t="s">
        <v>170</v>
      </c>
      <c r="F90" s="107" t="s">
        <v>198</v>
      </c>
      <c r="G90" s="107" t="s">
        <v>173</v>
      </c>
      <c r="H90" s="107">
        <v>1392</v>
      </c>
      <c r="I90" s="269">
        <v>43228</v>
      </c>
      <c r="J90" s="270">
        <v>6000</v>
      </c>
      <c r="K90" s="270" t="s">
        <v>459</v>
      </c>
      <c r="L90" s="270" t="s">
        <v>459</v>
      </c>
      <c r="M90" s="305">
        <f>M89+M85</f>
        <v>7.7</v>
      </c>
      <c r="N90" s="109">
        <f>N89+N85</f>
        <v>7.4</v>
      </c>
      <c r="O90" s="268">
        <f t="shared" ref="O90" si="17">J90+(M90)/1000</f>
        <v>6000.0077000000001</v>
      </c>
      <c r="P90" s="108">
        <f t="shared" ref="P90" si="18">J90+(N90)/1000</f>
        <v>6000.0074000000004</v>
      </c>
      <c r="Q90" s="268">
        <f t="shared" ref="Q90" si="19">(P90-O90)/SQRT(3)*1000</f>
        <v>-0.17320508058213546</v>
      </c>
      <c r="R90" s="109">
        <f>R89+R85</f>
        <v>9.6</v>
      </c>
      <c r="S90" s="108">
        <f t="shared" si="14"/>
        <v>0.88975669159417592</v>
      </c>
      <c r="T90" s="107" t="str">
        <f t="shared" si="16"/>
        <v>M-016</v>
      </c>
      <c r="U90" s="601" t="s">
        <v>196</v>
      </c>
      <c r="V90" s="869"/>
      <c r="W90" s="74"/>
      <c r="X90" s="74"/>
      <c r="Y90" s="74"/>
      <c r="Z90" s="74"/>
      <c r="AA90" s="74"/>
      <c r="AB90" s="74"/>
      <c r="AC90" s="74"/>
      <c r="AD90" s="74"/>
      <c r="AE90" s="74"/>
      <c r="AF90" s="74"/>
      <c r="AG90" s="74"/>
      <c r="AH90" s="74"/>
      <c r="AI90" s="74"/>
      <c r="AJ90" s="74"/>
      <c r="AK90" s="74"/>
      <c r="AV90" s="74"/>
      <c r="AW90" s="74"/>
      <c r="AX90" s="74"/>
    </row>
    <row r="91" spans="2:50" ht="30" customHeight="1" thickBot="1" x14ac:dyDescent="0.4">
      <c r="B91" s="867"/>
      <c r="C91" s="120" t="s">
        <v>495</v>
      </c>
      <c r="D91" s="111" t="s">
        <v>494</v>
      </c>
      <c r="E91" s="111" t="s">
        <v>170</v>
      </c>
      <c r="F91" s="111" t="s">
        <v>198</v>
      </c>
      <c r="G91" s="111" t="s">
        <v>173</v>
      </c>
      <c r="H91" s="111">
        <v>1392</v>
      </c>
      <c r="I91" s="272">
        <v>43228</v>
      </c>
      <c r="J91" s="275">
        <v>8200</v>
      </c>
      <c r="K91" s="275" t="s">
        <v>459</v>
      </c>
      <c r="L91" s="275" t="s">
        <v>459</v>
      </c>
      <c r="M91" s="586">
        <f>M89+M86+M85+M82</f>
        <v>10.989999999999998</v>
      </c>
      <c r="N91" s="587">
        <f>N89+N86+N85+N82</f>
        <v>10.8</v>
      </c>
      <c r="O91" s="306">
        <f>J91+(M91)/1000</f>
        <v>8200.0109900000007</v>
      </c>
      <c r="P91" s="112">
        <f t="shared" ref="P91" si="20">J91+(N91)/1000</f>
        <v>8200.0108</v>
      </c>
      <c r="Q91" s="306">
        <f t="shared" ref="Q91" si="21">(P91-O91)/SQRT(3)*1000</f>
        <v>-0.109696551525443</v>
      </c>
      <c r="R91" s="121">
        <f>R89+R86+R85+R82</f>
        <v>12.93</v>
      </c>
      <c r="S91" s="112">
        <f t="shared" si="14"/>
        <v>0.88975669159417592</v>
      </c>
      <c r="T91" s="111" t="str">
        <f t="shared" si="16"/>
        <v>M-016</v>
      </c>
      <c r="U91" s="602" t="s">
        <v>196</v>
      </c>
      <c r="V91" s="870"/>
      <c r="W91" s="74"/>
      <c r="X91" s="74"/>
      <c r="Y91" s="74"/>
      <c r="Z91" s="74"/>
      <c r="AA91" s="74"/>
      <c r="AB91" s="74"/>
      <c r="AC91" s="74"/>
      <c r="AD91" s="74"/>
      <c r="AE91" s="74"/>
      <c r="AF91" s="74"/>
      <c r="AG91" s="74"/>
      <c r="AH91" s="74"/>
      <c r="AI91" s="74"/>
      <c r="AJ91" s="74"/>
      <c r="AK91" s="74"/>
      <c r="AV91" s="74"/>
      <c r="AW91" s="74"/>
      <c r="AX91" s="74"/>
    </row>
    <row r="92" spans="2:50" ht="30" customHeight="1" x14ac:dyDescent="0.35">
      <c r="O92" s="56"/>
      <c r="P92" s="56"/>
      <c r="Q92" s="56"/>
      <c r="R92" s="56"/>
      <c r="S92" s="56"/>
      <c r="T92" s="56"/>
      <c r="U92" s="56"/>
      <c r="Z92" s="74"/>
      <c r="AA92" s="74"/>
      <c r="AB92" s="74"/>
      <c r="AC92" s="74"/>
      <c r="AD92" s="74"/>
      <c r="AE92" s="74"/>
      <c r="AF92" s="74"/>
      <c r="AG92" s="74"/>
      <c r="AH92" s="74"/>
      <c r="AI92" s="74"/>
      <c r="AJ92" s="74"/>
      <c r="AK92" s="74"/>
      <c r="AV92" s="74"/>
      <c r="AW92" s="74"/>
      <c r="AX92" s="74"/>
    </row>
    <row r="93" spans="2:50" ht="30" customHeight="1" x14ac:dyDescent="0.35">
      <c r="O93" s="56"/>
      <c r="P93" s="56"/>
      <c r="Q93" s="56"/>
      <c r="R93" s="56"/>
      <c r="S93" s="56"/>
      <c r="T93" s="56"/>
      <c r="U93" s="56"/>
      <c r="Z93" s="74"/>
      <c r="AA93" s="74"/>
      <c r="AB93" s="74"/>
      <c r="AC93" s="74"/>
      <c r="AD93" s="74"/>
      <c r="AE93" s="74"/>
      <c r="AF93" s="74"/>
      <c r="AG93" s="74"/>
      <c r="AH93" s="74"/>
      <c r="AI93" s="74"/>
      <c r="AJ93" s="74"/>
      <c r="AK93" s="74"/>
      <c r="AV93" s="74"/>
      <c r="AW93" s="74"/>
      <c r="AX93" s="74"/>
    </row>
    <row r="94" spans="2:50" ht="30" customHeight="1" x14ac:dyDescent="0.35">
      <c r="O94" s="56"/>
      <c r="P94" s="56"/>
      <c r="Q94" s="56"/>
      <c r="R94" s="56"/>
      <c r="S94" s="56"/>
      <c r="T94" s="56"/>
      <c r="U94" s="56"/>
      <c r="Z94" s="74"/>
      <c r="AA94" s="74"/>
      <c r="AB94" s="74"/>
      <c r="AC94" s="74"/>
      <c r="AD94" s="74"/>
      <c r="AE94" s="74"/>
      <c r="AF94" s="74"/>
      <c r="AG94" s="74"/>
      <c r="AH94" s="74"/>
      <c r="AI94" s="74"/>
      <c r="AJ94" s="74"/>
      <c r="AK94" s="74"/>
      <c r="AV94" s="74"/>
      <c r="AW94" s="74"/>
      <c r="AX94" s="74"/>
    </row>
    <row r="95" spans="2:50" ht="30" customHeight="1" x14ac:dyDescent="0.35">
      <c r="O95" s="56"/>
      <c r="P95" s="56"/>
      <c r="Q95" s="56"/>
      <c r="R95" s="56"/>
      <c r="S95" s="56"/>
      <c r="T95" s="56"/>
      <c r="U95" s="56"/>
      <c r="Z95" s="74"/>
      <c r="AA95" s="74"/>
      <c r="AB95" s="74"/>
      <c r="AC95" s="74"/>
      <c r="AD95" s="74"/>
      <c r="AE95" s="74"/>
      <c r="AF95" s="74"/>
      <c r="AG95" s="74"/>
      <c r="AH95" s="74"/>
      <c r="AI95" s="74"/>
      <c r="AJ95" s="74"/>
      <c r="AK95" s="74"/>
      <c r="AV95" s="74"/>
      <c r="AW95" s="74"/>
      <c r="AX95" s="74"/>
    </row>
    <row r="96" spans="2:50" ht="30" customHeight="1" thickBot="1" x14ac:dyDescent="0.4">
      <c r="O96" s="56"/>
      <c r="P96" s="56"/>
      <c r="Q96" s="56"/>
      <c r="R96" s="56"/>
      <c r="S96" s="56"/>
      <c r="T96" s="56"/>
      <c r="U96" s="56"/>
      <c r="Z96" s="74"/>
      <c r="AA96" s="74"/>
      <c r="AB96" s="74"/>
      <c r="AC96" s="74"/>
      <c r="AD96" s="74"/>
      <c r="AE96" s="74"/>
      <c r="AF96" s="74"/>
      <c r="AG96" s="74"/>
      <c r="AH96" s="74"/>
      <c r="AI96" s="74"/>
      <c r="AJ96" s="74"/>
      <c r="AK96" s="74"/>
      <c r="AV96" s="74"/>
      <c r="AW96" s="74"/>
      <c r="AX96" s="74"/>
    </row>
    <row r="97" spans="1:50" ht="30" customHeight="1" x14ac:dyDescent="0.35">
      <c r="B97" s="75"/>
      <c r="C97" s="845" t="s">
        <v>243</v>
      </c>
      <c r="D97" s="846"/>
      <c r="E97" s="846"/>
      <c r="F97" s="846"/>
      <c r="G97" s="846"/>
      <c r="H97" s="846"/>
      <c r="I97" s="846"/>
      <c r="J97" s="846"/>
      <c r="K97" s="846"/>
      <c r="L97" s="846"/>
      <c r="M97" s="846"/>
      <c r="N97" s="846"/>
      <c r="O97" s="846"/>
      <c r="P97" s="846"/>
      <c r="Q97" s="846"/>
      <c r="R97" s="846"/>
      <c r="S97" s="846"/>
      <c r="T97" s="847"/>
      <c r="U97" s="56"/>
      <c r="Z97" s="74"/>
      <c r="AA97" s="74"/>
      <c r="AB97" s="74"/>
      <c r="AC97" s="74"/>
      <c r="AD97" s="74"/>
      <c r="AE97" s="74"/>
      <c r="AF97" s="74"/>
      <c r="AG97" s="74"/>
      <c r="AH97" s="74"/>
      <c r="AI97" s="74"/>
      <c r="AJ97" s="74"/>
      <c r="AK97" s="74"/>
      <c r="AV97" s="74"/>
      <c r="AW97" s="74"/>
      <c r="AX97" s="74"/>
    </row>
    <row r="98" spans="1:50" ht="30" customHeight="1" thickBot="1" x14ac:dyDescent="0.4">
      <c r="B98" s="75"/>
      <c r="C98" s="848"/>
      <c r="D98" s="849"/>
      <c r="E98" s="849"/>
      <c r="F98" s="849"/>
      <c r="G98" s="849"/>
      <c r="H98" s="849"/>
      <c r="I98" s="849"/>
      <c r="J98" s="849"/>
      <c r="K98" s="849"/>
      <c r="L98" s="849"/>
      <c r="M98" s="849"/>
      <c r="N98" s="849"/>
      <c r="O98" s="849"/>
      <c r="P98" s="849"/>
      <c r="Q98" s="849"/>
      <c r="R98" s="849"/>
      <c r="S98" s="849"/>
      <c r="T98" s="850"/>
      <c r="U98" s="56"/>
      <c r="Z98" s="74"/>
      <c r="AA98" s="74"/>
      <c r="AB98" s="74"/>
      <c r="AC98" s="74"/>
      <c r="AD98" s="74"/>
      <c r="AE98" s="74"/>
      <c r="AF98" s="74"/>
      <c r="AG98" s="74"/>
      <c r="AH98" s="74"/>
      <c r="AI98" s="74"/>
      <c r="AJ98" s="74"/>
      <c r="AK98" s="74"/>
      <c r="AV98" s="74"/>
      <c r="AW98" s="74"/>
      <c r="AX98" s="74"/>
    </row>
    <row r="99" spans="1:50" ht="30" customHeight="1" thickBot="1" x14ac:dyDescent="0.4">
      <c r="B99" s="75"/>
      <c r="C99" s="851" t="s">
        <v>398</v>
      </c>
      <c r="D99" s="852"/>
      <c r="E99" s="852"/>
      <c r="F99" s="852"/>
      <c r="G99" s="852"/>
      <c r="H99" s="852"/>
      <c r="I99" s="852"/>
      <c r="J99" s="852"/>
      <c r="K99" s="852"/>
      <c r="L99" s="852"/>
      <c r="M99" s="852"/>
      <c r="N99" s="852"/>
      <c r="O99" s="852"/>
      <c r="P99" s="852"/>
      <c r="Q99" s="852"/>
      <c r="R99" s="852"/>
      <c r="S99" s="852"/>
      <c r="T99" s="853"/>
      <c r="U99" s="56"/>
      <c r="Z99" s="74"/>
      <c r="AA99" s="74"/>
      <c r="AB99" s="74"/>
      <c r="AC99" s="74"/>
      <c r="AD99" s="74"/>
      <c r="AE99" s="74"/>
      <c r="AF99" s="74"/>
      <c r="AG99" s="74"/>
      <c r="AH99" s="74"/>
      <c r="AI99" s="74"/>
      <c r="AJ99" s="74"/>
      <c r="AK99" s="74"/>
      <c r="AV99" s="74"/>
      <c r="AW99" s="74"/>
      <c r="AX99" s="74"/>
    </row>
    <row r="100" spans="1:50" ht="30" customHeight="1" x14ac:dyDescent="0.35">
      <c r="B100" s="75"/>
      <c r="C100" s="74"/>
      <c r="D100" s="854" t="s">
        <v>3</v>
      </c>
      <c r="E100" s="856" t="s">
        <v>178</v>
      </c>
      <c r="F100" s="856" t="s">
        <v>179</v>
      </c>
      <c r="G100" s="856" t="s">
        <v>180</v>
      </c>
      <c r="H100" s="856" t="s">
        <v>181</v>
      </c>
      <c r="I100" s="856" t="s">
        <v>182</v>
      </c>
      <c r="J100" s="856" t="s">
        <v>183</v>
      </c>
      <c r="K100" s="856" t="s">
        <v>184</v>
      </c>
      <c r="L100" s="910" t="s">
        <v>185</v>
      </c>
      <c r="O100" s="965" t="s">
        <v>244</v>
      </c>
      <c r="P100" s="966" t="s">
        <v>182</v>
      </c>
      <c r="Q100" s="967"/>
      <c r="R100" s="968"/>
      <c r="S100" s="908" t="s">
        <v>184</v>
      </c>
      <c r="T100" s="910" t="s">
        <v>185</v>
      </c>
      <c r="U100" s="56"/>
      <c r="Z100" s="74"/>
      <c r="AA100" s="74"/>
      <c r="AB100" s="74"/>
      <c r="AC100" s="74"/>
      <c r="AD100" s="74"/>
      <c r="AE100" s="74"/>
      <c r="AF100" s="74"/>
      <c r="AG100" s="74"/>
      <c r="AH100" s="74"/>
      <c r="AI100" s="74"/>
      <c r="AJ100" s="74"/>
      <c r="AK100" s="74"/>
      <c r="AV100" s="74"/>
      <c r="AW100" s="74"/>
      <c r="AX100" s="74"/>
    </row>
    <row r="101" spans="1:50" ht="30" customHeight="1" thickBot="1" x14ac:dyDescent="0.4">
      <c r="B101" s="75"/>
      <c r="C101" s="76"/>
      <c r="D101" s="855"/>
      <c r="E101" s="857"/>
      <c r="F101" s="857"/>
      <c r="G101" s="857"/>
      <c r="H101" s="857"/>
      <c r="I101" s="857"/>
      <c r="J101" s="857"/>
      <c r="K101" s="857"/>
      <c r="L101" s="911"/>
      <c r="O101" s="965"/>
      <c r="P101" s="966"/>
      <c r="Q101" s="967"/>
      <c r="R101" s="968"/>
      <c r="S101" s="909"/>
      <c r="T101" s="911"/>
      <c r="Z101" s="74"/>
      <c r="AA101" s="74"/>
      <c r="AB101" s="74"/>
      <c r="AC101" s="74"/>
      <c r="AD101" s="74"/>
      <c r="AE101" s="74"/>
      <c r="AF101" s="74"/>
      <c r="AG101" s="74"/>
      <c r="AH101" s="74"/>
      <c r="AI101" s="74"/>
      <c r="AJ101" s="74"/>
      <c r="AK101" s="74"/>
      <c r="AV101" s="74"/>
      <c r="AW101" s="74"/>
      <c r="AX101" s="74"/>
    </row>
    <row r="102" spans="1:50" ht="30" customHeight="1" thickBot="1" x14ac:dyDescent="0.4">
      <c r="A102" s="77"/>
      <c r="B102" s="78"/>
      <c r="C102" s="79"/>
      <c r="D102" s="79"/>
      <c r="E102" s="79"/>
      <c r="F102" s="79"/>
      <c r="G102" s="79"/>
      <c r="H102" s="79"/>
      <c r="I102" s="80"/>
      <c r="J102" s="80"/>
      <c r="K102" s="80"/>
      <c r="L102" s="80"/>
      <c r="O102" s="81"/>
      <c r="P102" s="81"/>
      <c r="Q102" s="81"/>
      <c r="R102" s="81"/>
      <c r="S102" s="82"/>
      <c r="T102" s="83"/>
      <c r="Z102" s="74"/>
      <c r="AA102" s="74"/>
      <c r="AB102" s="74"/>
      <c r="AC102" s="74"/>
      <c r="AD102" s="74"/>
      <c r="AE102" s="74"/>
      <c r="AF102" s="74"/>
      <c r="AG102" s="74"/>
      <c r="AH102" s="74"/>
      <c r="AI102" s="74"/>
      <c r="AJ102" s="74"/>
      <c r="AK102" s="74"/>
      <c r="AV102" s="74"/>
      <c r="AW102" s="74"/>
      <c r="AX102" s="74"/>
    </row>
    <row r="103" spans="1:50" ht="30" customHeight="1" x14ac:dyDescent="0.35">
      <c r="A103" s="892" t="s">
        <v>223</v>
      </c>
      <c r="B103" s="912"/>
      <c r="C103" s="858" t="s">
        <v>225</v>
      </c>
      <c r="D103" s="969" t="s">
        <v>186</v>
      </c>
      <c r="E103" s="834" t="s">
        <v>205</v>
      </c>
      <c r="F103" s="1530">
        <v>15.3</v>
      </c>
      <c r="G103" s="1531">
        <v>0.1</v>
      </c>
      <c r="H103" s="1532">
        <v>0</v>
      </c>
      <c r="I103" s="1533">
        <v>0.3</v>
      </c>
      <c r="J103" s="1534">
        <v>2</v>
      </c>
      <c r="K103" s="1535">
        <v>44019</v>
      </c>
      <c r="L103" s="1536" t="s">
        <v>468</v>
      </c>
      <c r="O103" s="105"/>
      <c r="P103" s="1631" t="s">
        <v>221</v>
      </c>
      <c r="Q103" s="1632" t="s">
        <v>395</v>
      </c>
      <c r="R103" s="1632" t="s">
        <v>222</v>
      </c>
      <c r="S103" s="1619" t="s">
        <v>471</v>
      </c>
      <c r="T103" s="1633" t="s">
        <v>472</v>
      </c>
      <c r="Z103" s="74"/>
      <c r="AA103" s="74"/>
      <c r="AB103" s="74"/>
      <c r="AC103" s="74"/>
      <c r="AD103" s="74"/>
      <c r="AE103" s="74"/>
      <c r="AF103" s="74"/>
      <c r="AG103" s="74"/>
      <c r="AH103" s="74"/>
      <c r="AI103" s="74"/>
      <c r="AJ103" s="74"/>
      <c r="AK103" s="74"/>
      <c r="AV103" s="74"/>
      <c r="AW103" s="74"/>
      <c r="AX103" s="74"/>
    </row>
    <row r="104" spans="1:50" ht="30" customHeight="1" x14ac:dyDescent="0.35">
      <c r="A104" s="913"/>
      <c r="B104" s="914"/>
      <c r="C104" s="859"/>
      <c r="D104" s="970"/>
      <c r="E104" s="835"/>
      <c r="F104" s="1537">
        <v>24.7</v>
      </c>
      <c r="G104" s="1538">
        <v>0.1</v>
      </c>
      <c r="H104" s="1539">
        <v>0</v>
      </c>
      <c r="I104" s="1540">
        <v>0.2</v>
      </c>
      <c r="J104" s="1541"/>
      <c r="K104" s="1542"/>
      <c r="L104" s="1543"/>
      <c r="O104" s="830" t="s">
        <v>230</v>
      </c>
      <c r="P104" s="1610">
        <f>MAX(I103:I105)</f>
        <v>0.3</v>
      </c>
      <c r="Q104" s="1610">
        <f>MAX(I106:I108)</f>
        <v>1.7</v>
      </c>
      <c r="R104" s="1610">
        <f>MAX(I109:I111)</f>
        <v>9.6000000000000002E-2</v>
      </c>
      <c r="S104" s="1623"/>
      <c r="T104" s="1624"/>
      <c r="Z104" s="74"/>
      <c r="AA104" s="74"/>
      <c r="AB104" s="74"/>
      <c r="AC104" s="74"/>
      <c r="AD104" s="74"/>
      <c r="AE104" s="74"/>
      <c r="AF104" s="74"/>
      <c r="AG104" s="74"/>
      <c r="AH104" s="74"/>
      <c r="AI104" s="74"/>
      <c r="AJ104" s="74"/>
      <c r="AK104" s="74"/>
      <c r="AV104" s="74"/>
      <c r="AW104" s="74"/>
      <c r="AX104" s="74"/>
    </row>
    <row r="105" spans="1:50" ht="30" customHeight="1" thickBot="1" x14ac:dyDescent="0.4">
      <c r="A105" s="915"/>
      <c r="B105" s="916"/>
      <c r="C105" s="859"/>
      <c r="D105" s="970"/>
      <c r="E105" s="835"/>
      <c r="F105" s="1544">
        <v>29.5</v>
      </c>
      <c r="G105" s="1545">
        <v>0.1</v>
      </c>
      <c r="H105" s="1546">
        <v>-0.1</v>
      </c>
      <c r="I105" s="1547">
        <v>0.2</v>
      </c>
      <c r="J105" s="1548"/>
      <c r="K105" s="1549"/>
      <c r="L105" s="1550"/>
      <c r="O105" s="831"/>
      <c r="P105" s="1625"/>
      <c r="Q105" s="1626"/>
      <c r="R105" s="1626"/>
      <c r="S105" s="1627"/>
      <c r="T105" s="1628"/>
      <c r="Z105" s="74"/>
      <c r="AA105" s="74"/>
      <c r="AB105" s="74"/>
      <c r="AC105" s="74"/>
      <c r="AD105" s="74"/>
      <c r="AE105" s="74"/>
      <c r="AF105" s="74"/>
      <c r="AG105" s="74"/>
      <c r="AH105" s="74"/>
      <c r="AI105" s="74"/>
      <c r="AJ105" s="74"/>
      <c r="AK105" s="74"/>
      <c r="AV105" s="74"/>
      <c r="AW105" s="74"/>
      <c r="AX105" s="74"/>
    </row>
    <row r="106" spans="1:50" ht="30" customHeight="1" x14ac:dyDescent="0.35">
      <c r="A106" s="886" t="s">
        <v>224</v>
      </c>
      <c r="B106" s="898"/>
      <c r="C106" s="859"/>
      <c r="D106" s="970"/>
      <c r="E106" s="835"/>
      <c r="F106" s="1530">
        <v>33.299999999999997</v>
      </c>
      <c r="G106" s="1531">
        <v>0.1</v>
      </c>
      <c r="H106" s="1531">
        <v>-3.3</v>
      </c>
      <c r="I106" s="1551">
        <v>1.7</v>
      </c>
      <c r="J106" s="1534">
        <v>2</v>
      </c>
      <c r="K106" s="1535">
        <v>44020</v>
      </c>
      <c r="L106" s="1536" t="s">
        <v>469</v>
      </c>
      <c r="O106" s="56"/>
      <c r="P106" s="56"/>
      <c r="Q106" s="56"/>
      <c r="R106" s="56"/>
      <c r="S106" s="56"/>
      <c r="T106" s="56"/>
      <c r="Z106" s="74"/>
      <c r="AA106" s="74"/>
      <c r="AB106" s="74"/>
      <c r="AC106" s="74"/>
      <c r="AD106" s="74"/>
      <c r="AE106" s="74"/>
      <c r="AF106" s="74"/>
      <c r="AG106" s="74"/>
      <c r="AH106" s="74"/>
      <c r="AI106" s="74"/>
      <c r="AJ106" s="74"/>
      <c r="AK106" s="74"/>
      <c r="AV106" s="74"/>
      <c r="AW106" s="74"/>
      <c r="AX106" s="74"/>
    </row>
    <row r="107" spans="1:50" ht="30" customHeight="1" x14ac:dyDescent="0.35">
      <c r="A107" s="888"/>
      <c r="B107" s="899"/>
      <c r="C107" s="859"/>
      <c r="D107" s="970"/>
      <c r="E107" s="835"/>
      <c r="F107" s="1552">
        <v>51.2</v>
      </c>
      <c r="G107" s="1538">
        <v>0.1</v>
      </c>
      <c r="H107" s="1553">
        <v>-1.3</v>
      </c>
      <c r="I107" s="1540">
        <v>1.7</v>
      </c>
      <c r="J107" s="1541"/>
      <c r="K107" s="1542"/>
      <c r="L107" s="1543"/>
      <c r="O107" s="56"/>
      <c r="P107" s="56"/>
      <c r="Q107" s="56"/>
      <c r="R107" s="56"/>
      <c r="S107" s="56"/>
      <c r="T107" s="56"/>
      <c r="Z107" s="74"/>
      <c r="AA107" s="74"/>
      <c r="AB107" s="74"/>
      <c r="AC107" s="74"/>
      <c r="AD107" s="74"/>
      <c r="AE107" s="74"/>
      <c r="AF107" s="74"/>
      <c r="AG107" s="74"/>
      <c r="AH107" s="74"/>
      <c r="AI107" s="74"/>
      <c r="AJ107" s="74"/>
      <c r="AK107" s="74"/>
      <c r="AV107" s="74"/>
      <c r="AW107" s="74"/>
      <c r="AX107" s="74"/>
    </row>
    <row r="108" spans="1:50" ht="30" customHeight="1" thickBot="1" x14ac:dyDescent="0.4">
      <c r="A108" s="890"/>
      <c r="B108" s="900"/>
      <c r="C108" s="859"/>
      <c r="D108" s="970"/>
      <c r="E108" s="835"/>
      <c r="F108" s="1554">
        <v>77.099999999999994</v>
      </c>
      <c r="G108" s="1545">
        <v>0.1</v>
      </c>
      <c r="H108" s="1555">
        <v>3</v>
      </c>
      <c r="I108" s="1547">
        <v>1.7</v>
      </c>
      <c r="J108" s="1548"/>
      <c r="K108" s="1549"/>
      <c r="L108" s="1550"/>
      <c r="O108" s="56"/>
      <c r="P108" s="56"/>
      <c r="Q108" s="56"/>
      <c r="R108" s="56"/>
      <c r="S108" s="56"/>
      <c r="Z108" s="74"/>
      <c r="AA108" s="74"/>
      <c r="AB108" s="74"/>
      <c r="AC108" s="74"/>
      <c r="AD108" s="74"/>
      <c r="AE108" s="74"/>
      <c r="AF108" s="74"/>
      <c r="AG108" s="74"/>
      <c r="AH108" s="74"/>
      <c r="AI108" s="74"/>
      <c r="AJ108" s="74"/>
      <c r="AK108" s="74"/>
      <c r="AV108" s="74"/>
      <c r="AW108" s="74"/>
      <c r="AX108" s="74"/>
    </row>
    <row r="109" spans="1:50" ht="30" customHeight="1" x14ac:dyDescent="0.35">
      <c r="A109" s="888" t="s">
        <v>245</v>
      </c>
      <c r="B109" s="899"/>
      <c r="C109" s="859"/>
      <c r="D109" s="970"/>
      <c r="E109" s="835"/>
      <c r="F109" s="1530">
        <v>598.03200000000004</v>
      </c>
      <c r="G109" s="1531">
        <v>0.1</v>
      </c>
      <c r="H109" s="1556">
        <v>1.534</v>
      </c>
      <c r="I109" s="1551">
        <v>0.08</v>
      </c>
      <c r="J109" s="1534">
        <v>2</v>
      </c>
      <c r="K109" s="1535">
        <v>43980</v>
      </c>
      <c r="L109" s="1557" t="s">
        <v>470</v>
      </c>
      <c r="O109" s="56"/>
      <c r="P109" s="56"/>
      <c r="Q109" s="56"/>
      <c r="R109" s="56"/>
      <c r="S109" s="56"/>
      <c r="Z109" s="74"/>
      <c r="AA109" s="74"/>
      <c r="AB109" s="74"/>
      <c r="AC109" s="74"/>
      <c r="AD109" s="74"/>
      <c r="AE109" s="74"/>
      <c r="AF109" s="74"/>
      <c r="AG109" s="74"/>
      <c r="AH109" s="74"/>
      <c r="AI109" s="74"/>
      <c r="AJ109" s="74"/>
      <c r="AK109" s="74"/>
      <c r="AV109" s="74"/>
      <c r="AW109" s="74"/>
      <c r="AX109" s="74"/>
    </row>
    <row r="110" spans="1:50" ht="30" customHeight="1" x14ac:dyDescent="0.35">
      <c r="A110" s="888"/>
      <c r="B110" s="899"/>
      <c r="C110" s="859"/>
      <c r="D110" s="970"/>
      <c r="E110" s="835"/>
      <c r="F110" s="1537">
        <v>752.71299999999997</v>
      </c>
      <c r="G110" s="1558">
        <v>0.1</v>
      </c>
      <c r="H110" s="1558">
        <v>1.0549999999999999</v>
      </c>
      <c r="I110" s="1540">
        <v>8.4000000000000005E-2</v>
      </c>
      <c r="J110" s="1541"/>
      <c r="K110" s="1542"/>
      <c r="L110" s="1559"/>
      <c r="O110" s="56"/>
      <c r="P110" s="56"/>
      <c r="Q110" s="56"/>
      <c r="R110" s="56"/>
      <c r="S110" s="56"/>
      <c r="Z110" s="74"/>
      <c r="AA110" s="74"/>
      <c r="AB110" s="74"/>
      <c r="AC110" s="74"/>
      <c r="AD110" s="74"/>
      <c r="AE110" s="74"/>
      <c r="AF110" s="74"/>
      <c r="AG110" s="74"/>
      <c r="AH110" s="74"/>
      <c r="AI110" s="74"/>
      <c r="AJ110" s="74"/>
      <c r="AK110" s="74"/>
      <c r="AV110" s="74"/>
      <c r="AW110" s="74"/>
      <c r="AX110" s="74"/>
    </row>
    <row r="111" spans="1:50" ht="30" customHeight="1" thickBot="1" x14ac:dyDescent="0.4">
      <c r="A111" s="890"/>
      <c r="B111" s="900"/>
      <c r="C111" s="860"/>
      <c r="D111" s="971"/>
      <c r="E111" s="836"/>
      <c r="F111" s="1544">
        <v>848.5</v>
      </c>
      <c r="G111" s="1555">
        <v>0.1</v>
      </c>
      <c r="H111" s="1555">
        <v>0.77800000000000002</v>
      </c>
      <c r="I111" s="1547">
        <v>9.6000000000000002E-2</v>
      </c>
      <c r="J111" s="1548"/>
      <c r="K111" s="1549"/>
      <c r="L111" s="1560"/>
      <c r="O111" s="56"/>
      <c r="P111" s="56"/>
      <c r="Q111" s="56"/>
      <c r="R111" s="56"/>
      <c r="S111" s="56"/>
      <c r="Z111" s="74"/>
      <c r="AA111" s="74"/>
      <c r="AB111" s="74"/>
      <c r="AC111" s="74"/>
      <c r="AD111" s="74"/>
      <c r="AE111" s="74"/>
      <c r="AF111" s="74"/>
      <c r="AG111" s="74"/>
      <c r="AH111" s="74"/>
      <c r="AI111" s="74"/>
      <c r="AJ111" s="74"/>
      <c r="AK111" s="74"/>
      <c r="AV111" s="74"/>
      <c r="AW111" s="74"/>
      <c r="AX111" s="74"/>
    </row>
    <row r="112" spans="1:50" ht="30" customHeight="1" x14ac:dyDescent="0.35">
      <c r="O112" s="56"/>
      <c r="P112" s="56"/>
      <c r="Q112" s="56"/>
      <c r="R112" s="56"/>
      <c r="S112" s="56"/>
      <c r="U112" s="56"/>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row>
    <row r="113" spans="1:50" ht="30" customHeight="1" thickBot="1" x14ac:dyDescent="0.4">
      <c r="O113" s="56"/>
      <c r="P113" s="56"/>
      <c r="Q113" s="56"/>
      <c r="R113" s="56"/>
      <c r="S113" s="56"/>
      <c r="U113" s="56"/>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row>
    <row r="114" spans="1:50" ht="30" customHeight="1" x14ac:dyDescent="0.35">
      <c r="A114" s="901" t="s">
        <v>223</v>
      </c>
      <c r="B114" s="902"/>
      <c r="C114" s="858" t="s">
        <v>226</v>
      </c>
      <c r="D114" s="907" t="s">
        <v>186</v>
      </c>
      <c r="E114" s="834">
        <v>19506160802033</v>
      </c>
      <c r="F114" s="1561">
        <v>15.3</v>
      </c>
      <c r="G114" s="1531">
        <v>0.1</v>
      </c>
      <c r="H114" s="1531">
        <v>-0.1</v>
      </c>
      <c r="I114" s="1551">
        <v>0.3</v>
      </c>
      <c r="J114" s="1562">
        <v>2</v>
      </c>
      <c r="K114" s="1563">
        <v>44000</v>
      </c>
      <c r="L114" s="1564" t="s">
        <v>473</v>
      </c>
      <c r="O114" s="84"/>
      <c r="P114" s="1605" t="s">
        <v>221</v>
      </c>
      <c r="Q114" s="1618" t="s">
        <v>395</v>
      </c>
      <c r="R114" s="1618" t="s">
        <v>222</v>
      </c>
      <c r="S114" s="1619" t="s">
        <v>476</v>
      </c>
      <c r="T114" s="1620" t="s">
        <v>477</v>
      </c>
      <c r="U114" s="56"/>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row>
    <row r="115" spans="1:50" ht="30" customHeight="1" x14ac:dyDescent="0.35">
      <c r="A115" s="903"/>
      <c r="B115" s="904"/>
      <c r="C115" s="859"/>
      <c r="D115" s="884"/>
      <c r="E115" s="835"/>
      <c r="F115" s="1537">
        <v>24.5</v>
      </c>
      <c r="G115" s="1558">
        <v>0.1</v>
      </c>
      <c r="H115" s="1558">
        <v>0.3</v>
      </c>
      <c r="I115" s="1540">
        <v>0.3</v>
      </c>
      <c r="J115" s="1565"/>
      <c r="K115" s="1566"/>
      <c r="L115" s="1567"/>
      <c r="O115" s="830" t="s">
        <v>220</v>
      </c>
      <c r="P115" s="1610">
        <f>MAX(I114:I116)</f>
        <v>0.3</v>
      </c>
      <c r="Q115" s="1629">
        <f>MAX(I117:I119)</f>
        <v>1.7</v>
      </c>
      <c r="R115" s="1630">
        <f>MAX(I120:I122)</f>
        <v>0.15</v>
      </c>
      <c r="S115" s="1623"/>
      <c r="T115" s="1624"/>
      <c r="U115" s="56"/>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row>
    <row r="116" spans="1:50" ht="30" customHeight="1" thickBot="1" x14ac:dyDescent="0.4">
      <c r="A116" s="905"/>
      <c r="B116" s="906"/>
      <c r="C116" s="859"/>
      <c r="D116" s="884"/>
      <c r="E116" s="835"/>
      <c r="F116" s="1554">
        <v>29.5</v>
      </c>
      <c r="G116" s="1555">
        <v>0.1</v>
      </c>
      <c r="H116" s="1555">
        <v>0.2</v>
      </c>
      <c r="I116" s="1547">
        <v>0.3</v>
      </c>
      <c r="J116" s="1568"/>
      <c r="K116" s="1569"/>
      <c r="L116" s="1570"/>
      <c r="O116" s="831"/>
      <c r="P116" s="1625"/>
      <c r="Q116" s="1626"/>
      <c r="R116" s="1626"/>
      <c r="S116" s="1627"/>
      <c r="T116" s="1628"/>
      <c r="U116" s="56"/>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0" ht="30" customHeight="1" x14ac:dyDescent="0.35">
      <c r="A117" s="886" t="s">
        <v>224</v>
      </c>
      <c r="B117" s="898"/>
      <c r="C117" s="859"/>
      <c r="D117" s="884"/>
      <c r="E117" s="835"/>
      <c r="F117" s="1530">
        <v>32.4</v>
      </c>
      <c r="G117" s="1571">
        <v>0.1</v>
      </c>
      <c r="H117" s="1571">
        <v>-2.4</v>
      </c>
      <c r="I117" s="1572">
        <v>1.7</v>
      </c>
      <c r="J117" s="1573">
        <v>2</v>
      </c>
      <c r="K117" s="1563">
        <v>44001</v>
      </c>
      <c r="L117" s="1564" t="s">
        <v>474</v>
      </c>
      <c r="O117" s="56"/>
      <c r="P117" s="56"/>
      <c r="Q117" s="56"/>
      <c r="R117" s="56"/>
      <c r="U117" s="56"/>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ht="30" customHeight="1" x14ac:dyDescent="0.35">
      <c r="A118" s="888"/>
      <c r="B118" s="899"/>
      <c r="C118" s="859"/>
      <c r="D118" s="884"/>
      <c r="E118" s="835"/>
      <c r="F118" s="1537">
        <v>50.2</v>
      </c>
      <c r="G118" s="1574">
        <v>0.1</v>
      </c>
      <c r="H118" s="1574">
        <v>-0.2</v>
      </c>
      <c r="I118" s="1575">
        <v>1.7</v>
      </c>
      <c r="J118" s="1565"/>
      <c r="K118" s="1566"/>
      <c r="L118" s="1567"/>
      <c r="O118" s="56"/>
      <c r="P118" s="56"/>
      <c r="Q118" s="56"/>
      <c r="R118" s="56"/>
      <c r="U118" s="56"/>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row>
    <row r="119" spans="1:50" ht="30" customHeight="1" thickBot="1" x14ac:dyDescent="0.45">
      <c r="A119" s="890"/>
      <c r="B119" s="900"/>
      <c r="C119" s="859"/>
      <c r="D119" s="884"/>
      <c r="E119" s="835"/>
      <c r="F119" s="1554">
        <v>76.099999999999994</v>
      </c>
      <c r="G119" s="1576">
        <v>0.1</v>
      </c>
      <c r="H119" s="1576">
        <v>3.9</v>
      </c>
      <c r="I119" s="1577">
        <v>1.7</v>
      </c>
      <c r="J119" s="1568"/>
      <c r="K119" s="1569"/>
      <c r="L119" s="1570"/>
      <c r="O119" s="56"/>
      <c r="P119" s="56"/>
      <c r="Q119" s="56"/>
      <c r="R119" s="56"/>
      <c r="U119" s="56"/>
      <c r="V119" s="45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row>
    <row r="120" spans="1:50" ht="30" customHeight="1" x14ac:dyDescent="0.4">
      <c r="A120" s="886" t="s">
        <v>245</v>
      </c>
      <c r="B120" s="898"/>
      <c r="C120" s="859"/>
      <c r="D120" s="884"/>
      <c r="E120" s="835"/>
      <c r="F120" s="1561">
        <v>397.70400000000001</v>
      </c>
      <c r="G120" s="1571">
        <v>0.1</v>
      </c>
      <c r="H120" s="1578">
        <v>2.25</v>
      </c>
      <c r="I120" s="1579">
        <v>0.12</v>
      </c>
      <c r="J120" s="1573">
        <v>2</v>
      </c>
      <c r="K120" s="1563">
        <v>43980</v>
      </c>
      <c r="L120" s="1580" t="s">
        <v>475</v>
      </c>
      <c r="O120" s="56"/>
      <c r="P120" s="56"/>
      <c r="Q120" s="56"/>
      <c r="R120" s="56"/>
      <c r="T120" s="85"/>
      <c r="U120" s="56"/>
      <c r="V120" s="45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row>
    <row r="121" spans="1:50" ht="30" customHeight="1" x14ac:dyDescent="0.4">
      <c r="A121" s="888"/>
      <c r="B121" s="899"/>
      <c r="C121" s="859"/>
      <c r="D121" s="884"/>
      <c r="E121" s="835"/>
      <c r="F121" s="1537">
        <v>752.71299999999997</v>
      </c>
      <c r="G121" s="1574">
        <v>0.1</v>
      </c>
      <c r="H121" s="1581">
        <v>1.0549999999999999</v>
      </c>
      <c r="I121" s="1582">
        <v>8.4000000000000005E-2</v>
      </c>
      <c r="J121" s="1565"/>
      <c r="K121" s="1566"/>
      <c r="L121" s="1567"/>
      <c r="O121" s="56"/>
      <c r="P121" s="56"/>
      <c r="Q121" s="56"/>
      <c r="R121" s="56"/>
      <c r="T121" s="72"/>
      <c r="U121" s="56"/>
      <c r="V121" s="454"/>
    </row>
    <row r="122" spans="1:50" ht="30" customHeight="1" thickBot="1" x14ac:dyDescent="0.45">
      <c r="A122" s="890"/>
      <c r="B122" s="900"/>
      <c r="C122" s="860"/>
      <c r="D122" s="885"/>
      <c r="E122" s="836"/>
      <c r="F122" s="1554">
        <v>1098.79</v>
      </c>
      <c r="G122" s="1576">
        <v>0.1</v>
      </c>
      <c r="H122" s="1583">
        <v>0.84</v>
      </c>
      <c r="I122" s="1584">
        <v>0.15</v>
      </c>
      <c r="J122" s="1568"/>
      <c r="K122" s="1569"/>
      <c r="L122" s="1570"/>
      <c r="O122" s="56"/>
      <c r="P122" s="56"/>
      <c r="Q122" s="56"/>
      <c r="R122" s="56"/>
      <c r="T122" s="72"/>
      <c r="U122" s="56"/>
      <c r="V122" s="454"/>
    </row>
    <row r="123" spans="1:50" ht="30" customHeight="1" x14ac:dyDescent="0.4">
      <c r="O123" s="56"/>
      <c r="P123" s="56"/>
      <c r="Q123" s="56"/>
      <c r="R123" s="56"/>
      <c r="T123" s="72"/>
      <c r="U123" s="56"/>
      <c r="V123" s="454"/>
    </row>
    <row r="124" spans="1:50" ht="30" customHeight="1" thickBot="1" x14ac:dyDescent="0.45">
      <c r="O124" s="56"/>
      <c r="P124" s="56"/>
      <c r="Q124" s="56"/>
      <c r="R124" s="56"/>
      <c r="T124" s="72"/>
      <c r="U124" s="56"/>
      <c r="V124" s="454"/>
    </row>
    <row r="125" spans="1:50" ht="30" customHeight="1" x14ac:dyDescent="0.4">
      <c r="A125" s="892" t="s">
        <v>223</v>
      </c>
      <c r="B125" s="893"/>
      <c r="C125" s="858" t="s">
        <v>227</v>
      </c>
      <c r="D125" s="877" t="s">
        <v>186</v>
      </c>
      <c r="E125" s="834">
        <v>19406160802033</v>
      </c>
      <c r="F125" s="228">
        <v>15.3</v>
      </c>
      <c r="G125" s="218">
        <v>0.1</v>
      </c>
      <c r="H125" s="219">
        <v>-0.1</v>
      </c>
      <c r="I125" s="1590">
        <v>0.3</v>
      </c>
      <c r="J125" s="875">
        <v>2</v>
      </c>
      <c r="K125" s="839">
        <v>43732</v>
      </c>
      <c r="L125" s="861" t="s">
        <v>325</v>
      </c>
      <c r="O125" s="310"/>
      <c r="P125" s="1605" t="s">
        <v>221</v>
      </c>
      <c r="Q125" s="1618" t="s">
        <v>395</v>
      </c>
      <c r="R125" s="1618" t="s">
        <v>222</v>
      </c>
      <c r="S125" s="1619" t="s">
        <v>479</v>
      </c>
      <c r="T125" s="1620" t="s">
        <v>480</v>
      </c>
      <c r="U125" s="56"/>
      <c r="V125" s="454"/>
    </row>
    <row r="126" spans="1:50" ht="30" customHeight="1" x14ac:dyDescent="0.4">
      <c r="A126" s="894"/>
      <c r="B126" s="895"/>
      <c r="C126" s="859"/>
      <c r="D126" s="879"/>
      <c r="E126" s="835"/>
      <c r="F126" s="220">
        <v>24.8</v>
      </c>
      <c r="G126" s="227">
        <v>0.1</v>
      </c>
      <c r="H126" s="224">
        <v>0</v>
      </c>
      <c r="I126" s="1591">
        <v>0.3</v>
      </c>
      <c r="J126" s="837"/>
      <c r="K126" s="840"/>
      <c r="L126" s="842"/>
      <c r="O126" s="832" t="s">
        <v>231</v>
      </c>
      <c r="P126" s="1610">
        <f>MAX(I125:I127)</f>
        <v>0.3</v>
      </c>
      <c r="Q126" s="1622">
        <f>MAX(I128:I130)</f>
        <v>1.7</v>
      </c>
      <c r="R126" s="1622">
        <f>MAX(I131:I133)</f>
        <v>0.14000000000000001</v>
      </c>
      <c r="S126" s="1623"/>
      <c r="T126" s="1624"/>
      <c r="U126" s="56"/>
      <c r="V126" s="454"/>
    </row>
    <row r="127" spans="1:50" ht="30" customHeight="1" thickBot="1" x14ac:dyDescent="0.45">
      <c r="A127" s="896"/>
      <c r="B127" s="897"/>
      <c r="C127" s="859"/>
      <c r="D127" s="879"/>
      <c r="E127" s="835"/>
      <c r="F127" s="225">
        <v>29.6</v>
      </c>
      <c r="G127" s="226">
        <v>0.1</v>
      </c>
      <c r="H127" s="226">
        <v>0.1</v>
      </c>
      <c r="I127" s="222">
        <v>0.3</v>
      </c>
      <c r="J127" s="838"/>
      <c r="K127" s="841"/>
      <c r="L127" s="843"/>
      <c r="O127" s="833"/>
      <c r="P127" s="1625"/>
      <c r="Q127" s="1626"/>
      <c r="R127" s="1626"/>
      <c r="S127" s="1627"/>
      <c r="T127" s="1628"/>
      <c r="U127" s="56"/>
      <c r="V127" s="454"/>
    </row>
    <row r="128" spans="1:50" ht="30" customHeight="1" x14ac:dyDescent="0.4">
      <c r="A128" s="886" t="s">
        <v>224</v>
      </c>
      <c r="B128" s="887"/>
      <c r="C128" s="859"/>
      <c r="D128" s="879"/>
      <c r="E128" s="835"/>
      <c r="F128" s="217">
        <v>32.299999999999997</v>
      </c>
      <c r="G128" s="218">
        <v>0.1</v>
      </c>
      <c r="H128" s="218">
        <v>-2.2999999999999998</v>
      </c>
      <c r="I128" s="223">
        <v>1.7</v>
      </c>
      <c r="J128" s="875">
        <v>2</v>
      </c>
      <c r="K128" s="839">
        <v>43733</v>
      </c>
      <c r="L128" s="861" t="s">
        <v>326</v>
      </c>
      <c r="O128" s="56"/>
      <c r="P128" s="56"/>
      <c r="Q128" s="56"/>
      <c r="R128" s="56"/>
      <c r="T128" s="72"/>
      <c r="U128" s="56"/>
      <c r="V128" s="454"/>
    </row>
    <row r="129" spans="1:22" ht="30" customHeight="1" x14ac:dyDescent="0.4">
      <c r="A129" s="888"/>
      <c r="B129" s="889"/>
      <c r="C129" s="859"/>
      <c r="D129" s="879"/>
      <c r="E129" s="835"/>
      <c r="F129" s="220">
        <v>50.6</v>
      </c>
      <c r="G129" s="227">
        <v>0.1</v>
      </c>
      <c r="H129" s="227">
        <v>-0.6</v>
      </c>
      <c r="I129" s="221">
        <v>1.7</v>
      </c>
      <c r="J129" s="837">
        <v>2</v>
      </c>
      <c r="K129" s="840"/>
      <c r="L129" s="842"/>
      <c r="O129" s="56"/>
      <c r="P129" s="56"/>
      <c r="Q129" s="56"/>
      <c r="R129" s="56"/>
      <c r="T129" s="72"/>
      <c r="U129" s="56"/>
      <c r="V129" s="454"/>
    </row>
    <row r="130" spans="1:22" ht="30" customHeight="1" thickBot="1" x14ac:dyDescent="0.45">
      <c r="A130" s="890"/>
      <c r="B130" s="891"/>
      <c r="C130" s="859"/>
      <c r="D130" s="879"/>
      <c r="E130" s="835"/>
      <c r="F130" s="225">
        <v>68.599999999999994</v>
      </c>
      <c r="G130" s="226">
        <v>0.1</v>
      </c>
      <c r="H130" s="226">
        <v>1.4</v>
      </c>
      <c r="I130" s="222">
        <v>1.7</v>
      </c>
      <c r="J130" s="838"/>
      <c r="K130" s="841"/>
      <c r="L130" s="843"/>
      <c r="O130" s="56"/>
      <c r="P130" s="56"/>
      <c r="Q130" s="56"/>
      <c r="R130" s="56"/>
      <c r="T130" s="72"/>
      <c r="U130" s="56"/>
      <c r="V130" s="454"/>
    </row>
    <row r="131" spans="1:22" ht="30" customHeight="1" x14ac:dyDescent="0.4">
      <c r="A131" s="886" t="s">
        <v>245</v>
      </c>
      <c r="B131" s="887"/>
      <c r="C131" s="859"/>
      <c r="D131" s="879"/>
      <c r="E131" s="835"/>
      <c r="F131" s="1561">
        <v>397.74599999999998</v>
      </c>
      <c r="G131" s="1531">
        <v>0.1</v>
      </c>
      <c r="H131" s="1585">
        <v>2.33</v>
      </c>
      <c r="I131" s="1586">
        <v>0.12</v>
      </c>
      <c r="J131" s="1562">
        <v>2</v>
      </c>
      <c r="K131" s="1563">
        <v>44106</v>
      </c>
      <c r="L131" s="1587" t="s">
        <v>478</v>
      </c>
      <c r="O131" s="56"/>
      <c r="P131" s="56"/>
      <c r="Q131" s="56"/>
      <c r="R131" s="56"/>
      <c r="T131" s="72"/>
      <c r="U131" s="56"/>
      <c r="V131" s="454"/>
    </row>
    <row r="132" spans="1:22" ht="30" customHeight="1" x14ac:dyDescent="0.4">
      <c r="A132" s="888"/>
      <c r="B132" s="889"/>
      <c r="C132" s="859"/>
      <c r="D132" s="879"/>
      <c r="E132" s="835"/>
      <c r="F132" s="1537">
        <v>752.61900000000003</v>
      </c>
      <c r="G132" s="1558">
        <v>0.1</v>
      </c>
      <c r="H132" s="1588">
        <v>0.99099999999999999</v>
      </c>
      <c r="I132" s="1582">
        <v>8.4000000000000005E-2</v>
      </c>
      <c r="J132" s="1565">
        <v>2</v>
      </c>
      <c r="K132" s="1566">
        <v>42671</v>
      </c>
      <c r="L132" s="1567" t="s">
        <v>204</v>
      </c>
      <c r="O132" s="56"/>
      <c r="P132" s="56"/>
      <c r="Q132" s="56"/>
      <c r="R132" s="56"/>
      <c r="T132" s="72"/>
      <c r="U132" s="56"/>
      <c r="V132" s="454"/>
    </row>
    <row r="133" spans="1:22" ht="30" customHeight="1" thickBot="1" x14ac:dyDescent="0.45">
      <c r="A133" s="890"/>
      <c r="B133" s="891"/>
      <c r="C133" s="860"/>
      <c r="D133" s="880"/>
      <c r="E133" s="836"/>
      <c r="F133" s="1554">
        <v>1098.8340000000001</v>
      </c>
      <c r="G133" s="1555">
        <v>0.1</v>
      </c>
      <c r="H133" s="1589">
        <v>0.74</v>
      </c>
      <c r="I133" s="1584">
        <v>0.14000000000000001</v>
      </c>
      <c r="J133" s="1568"/>
      <c r="K133" s="1569"/>
      <c r="L133" s="1570"/>
      <c r="O133" s="56"/>
      <c r="P133" s="56"/>
      <c r="Q133" s="56"/>
      <c r="R133" s="56"/>
      <c r="T133" s="72"/>
      <c r="U133" s="56"/>
      <c r="V133" s="454"/>
    </row>
    <row r="134" spans="1:22" ht="30" customHeight="1" thickBot="1" x14ac:dyDescent="0.45">
      <c r="A134" s="77"/>
      <c r="B134" s="80"/>
      <c r="C134" s="57"/>
      <c r="D134" s="57"/>
      <c r="E134" s="57"/>
      <c r="F134" s="57"/>
      <c r="G134" s="57"/>
      <c r="H134" s="57"/>
      <c r="I134" s="57"/>
      <c r="J134" s="57"/>
      <c r="K134" s="57"/>
      <c r="L134" s="57"/>
      <c r="O134" s="56"/>
      <c r="P134" s="56"/>
      <c r="Q134" s="56"/>
      <c r="R134" s="56"/>
      <c r="T134" s="72"/>
      <c r="U134" s="56"/>
      <c r="V134" s="454"/>
    </row>
    <row r="135" spans="1:22" ht="30" customHeight="1" x14ac:dyDescent="0.4">
      <c r="A135" s="876" t="s">
        <v>223</v>
      </c>
      <c r="B135" s="877"/>
      <c r="C135" s="883" t="s">
        <v>228</v>
      </c>
      <c r="D135" s="877" t="s">
        <v>186</v>
      </c>
      <c r="E135" s="834" t="s">
        <v>202</v>
      </c>
      <c r="F135" s="1530">
        <v>15.2</v>
      </c>
      <c r="G135" s="1531">
        <v>0.1</v>
      </c>
      <c r="H135" s="1532">
        <v>0</v>
      </c>
      <c r="I135" s="1592">
        <v>0.3</v>
      </c>
      <c r="J135" s="1593">
        <v>2</v>
      </c>
      <c r="K135" s="1563">
        <v>44000</v>
      </c>
      <c r="L135" s="1564" t="s">
        <v>481</v>
      </c>
      <c r="O135" s="84"/>
      <c r="P135" s="1605" t="s">
        <v>221</v>
      </c>
      <c r="Q135" s="1618" t="s">
        <v>395</v>
      </c>
      <c r="R135" s="1618" t="s">
        <v>222</v>
      </c>
      <c r="S135" s="1619" t="s">
        <v>484</v>
      </c>
      <c r="T135" s="1620" t="s">
        <v>485</v>
      </c>
      <c r="U135" s="56"/>
      <c r="V135" s="454"/>
    </row>
    <row r="136" spans="1:22" ht="30" customHeight="1" x14ac:dyDescent="0.4">
      <c r="A136" s="878"/>
      <c r="B136" s="879"/>
      <c r="C136" s="884"/>
      <c r="D136" s="879"/>
      <c r="E136" s="835"/>
      <c r="F136" s="1537">
        <v>24.8</v>
      </c>
      <c r="G136" s="1558">
        <v>0.1</v>
      </c>
      <c r="H136" s="1553">
        <v>0</v>
      </c>
      <c r="I136" s="1594">
        <v>0.2</v>
      </c>
      <c r="J136" s="1595"/>
      <c r="K136" s="1566"/>
      <c r="L136" s="1567"/>
      <c r="O136" s="830" t="s">
        <v>218</v>
      </c>
      <c r="P136" s="1621">
        <f>MAX(I135:I137)</f>
        <v>0.3</v>
      </c>
      <c r="Q136" s="1622">
        <f>MAX(I138:I140)</f>
        <v>1.7</v>
      </c>
      <c r="R136" s="1622">
        <f>MAX(I141:I143)</f>
        <v>9.5000000000000001E-2</v>
      </c>
      <c r="S136" s="1623"/>
      <c r="T136" s="1624"/>
      <c r="U136" s="56"/>
      <c r="V136" s="454"/>
    </row>
    <row r="137" spans="1:22" ht="30" customHeight="1" thickBot="1" x14ac:dyDescent="0.45">
      <c r="A137" s="878"/>
      <c r="B137" s="879"/>
      <c r="C137" s="884"/>
      <c r="D137" s="879"/>
      <c r="E137" s="835"/>
      <c r="F137" s="1544">
        <v>29.8</v>
      </c>
      <c r="G137" s="1555">
        <v>0.1</v>
      </c>
      <c r="H137" s="1596">
        <v>-0.1</v>
      </c>
      <c r="I137" s="1597">
        <v>0.2</v>
      </c>
      <c r="J137" s="1598">
        <v>1.96</v>
      </c>
      <c r="K137" s="1569"/>
      <c r="L137" s="1570"/>
      <c r="O137" s="831"/>
      <c r="P137" s="1625"/>
      <c r="Q137" s="1626"/>
      <c r="R137" s="1626"/>
      <c r="S137" s="1627"/>
      <c r="T137" s="1628"/>
      <c r="U137" s="56"/>
      <c r="V137" s="454"/>
    </row>
    <row r="138" spans="1:22" ht="30" customHeight="1" x14ac:dyDescent="0.4">
      <c r="A138" s="873" t="s">
        <v>224</v>
      </c>
      <c r="B138" s="874"/>
      <c r="C138" s="884"/>
      <c r="D138" s="879"/>
      <c r="E138" s="835"/>
      <c r="F138" s="1530">
        <v>32.9</v>
      </c>
      <c r="G138" s="1531">
        <v>0.1</v>
      </c>
      <c r="H138" s="1531">
        <v>-3</v>
      </c>
      <c r="I138" s="1586">
        <v>1.7</v>
      </c>
      <c r="J138" s="1593">
        <v>2</v>
      </c>
      <c r="K138" s="1563">
        <v>44001</v>
      </c>
      <c r="L138" s="1564" t="s">
        <v>482</v>
      </c>
      <c r="O138" s="56"/>
      <c r="P138" s="56"/>
      <c r="Q138" s="56"/>
      <c r="R138" s="56"/>
      <c r="T138" s="72"/>
      <c r="U138" s="56"/>
      <c r="V138" s="454"/>
    </row>
    <row r="139" spans="1:22" ht="30" customHeight="1" x14ac:dyDescent="0.4">
      <c r="A139" s="873"/>
      <c r="B139" s="874"/>
      <c r="C139" s="884"/>
      <c r="D139" s="879"/>
      <c r="E139" s="835"/>
      <c r="F139" s="1537">
        <v>51.2</v>
      </c>
      <c r="G139" s="1558">
        <v>0.1</v>
      </c>
      <c r="H139" s="1558">
        <v>-1.2</v>
      </c>
      <c r="I139" s="1582">
        <v>1.7</v>
      </c>
      <c r="J139" s="1595">
        <v>1.96</v>
      </c>
      <c r="K139" s="1566"/>
      <c r="L139" s="1567"/>
      <c r="O139" s="56"/>
      <c r="P139" s="56"/>
      <c r="Q139" s="56"/>
      <c r="R139" s="56"/>
      <c r="T139" s="72"/>
      <c r="U139" s="56"/>
      <c r="V139" s="454"/>
    </row>
    <row r="140" spans="1:22" ht="30" customHeight="1" thickBot="1" x14ac:dyDescent="0.45">
      <c r="A140" s="873"/>
      <c r="B140" s="874"/>
      <c r="C140" s="884"/>
      <c r="D140" s="879"/>
      <c r="E140" s="835"/>
      <c r="F140" s="1554">
        <v>77.599999999999994</v>
      </c>
      <c r="G140" s="1555">
        <v>0.1</v>
      </c>
      <c r="H140" s="1555">
        <v>2.4</v>
      </c>
      <c r="I140" s="1584">
        <v>1.7</v>
      </c>
      <c r="J140" s="1598"/>
      <c r="K140" s="1569"/>
      <c r="L140" s="1570"/>
      <c r="O140" s="56"/>
      <c r="P140" s="56"/>
      <c r="Q140" s="56"/>
      <c r="R140" s="56"/>
      <c r="T140" s="72"/>
      <c r="U140" s="56"/>
      <c r="V140" s="454"/>
    </row>
    <row r="141" spans="1:22" ht="30" customHeight="1" x14ac:dyDescent="0.35">
      <c r="A141" s="873" t="s">
        <v>245</v>
      </c>
      <c r="B141" s="874"/>
      <c r="C141" s="884"/>
      <c r="D141" s="879"/>
      <c r="E141" s="835"/>
      <c r="F141" s="1530">
        <v>598.11699999999996</v>
      </c>
      <c r="G141" s="1531">
        <v>0.1</v>
      </c>
      <c r="H141" s="1531">
        <v>1.4450000000000001</v>
      </c>
      <c r="I141" s="1586">
        <v>7.9000000000000001E-2</v>
      </c>
      <c r="J141" s="1593">
        <v>2</v>
      </c>
      <c r="K141" s="1563">
        <v>43980</v>
      </c>
      <c r="L141" s="1587" t="s">
        <v>483</v>
      </c>
      <c r="O141" s="56"/>
      <c r="P141" s="56"/>
      <c r="Q141" s="56"/>
      <c r="R141" s="56"/>
      <c r="T141" s="57"/>
    </row>
    <row r="142" spans="1:22" ht="30" customHeight="1" x14ac:dyDescent="0.35">
      <c r="A142" s="873"/>
      <c r="B142" s="874"/>
      <c r="C142" s="884"/>
      <c r="D142" s="879"/>
      <c r="E142" s="835"/>
      <c r="F142" s="1537">
        <v>752.81600000000003</v>
      </c>
      <c r="G142" s="1558">
        <v>0.1</v>
      </c>
      <c r="H142" s="1588">
        <v>0.95399999999999996</v>
      </c>
      <c r="I142" s="1582">
        <v>8.4000000000000005E-2</v>
      </c>
      <c r="J142" s="1595">
        <v>2</v>
      </c>
      <c r="K142" s="1566">
        <v>42625</v>
      </c>
      <c r="L142" s="1567" t="s">
        <v>203</v>
      </c>
      <c r="O142" s="56"/>
      <c r="P142" s="56"/>
      <c r="Q142" s="56"/>
      <c r="R142" s="56"/>
      <c r="T142" s="57"/>
    </row>
    <row r="143" spans="1:22" ht="30" customHeight="1" thickBot="1" x14ac:dyDescent="0.4">
      <c r="A143" s="881"/>
      <c r="B143" s="882"/>
      <c r="C143" s="885"/>
      <c r="D143" s="880"/>
      <c r="E143" s="836"/>
      <c r="F143" s="1554">
        <v>848.553</v>
      </c>
      <c r="G143" s="1555">
        <v>0.1</v>
      </c>
      <c r="H143" s="1555">
        <v>0.70399999999999996</v>
      </c>
      <c r="I143" s="1584">
        <v>9.5000000000000001E-2</v>
      </c>
      <c r="J143" s="1598"/>
      <c r="K143" s="1569"/>
      <c r="L143" s="1570"/>
      <c r="O143" s="56"/>
      <c r="P143" s="56"/>
      <c r="Q143" s="56"/>
      <c r="R143" s="56"/>
      <c r="T143" s="57"/>
    </row>
    <row r="144" spans="1:22" ht="30" customHeight="1" thickBot="1" x14ac:dyDescent="0.4">
      <c r="A144" s="86"/>
      <c r="B144" s="57"/>
      <c r="C144" s="57"/>
      <c r="D144" s="57"/>
      <c r="E144" s="57"/>
      <c r="F144" s="57"/>
      <c r="G144" s="57"/>
      <c r="H144" s="57"/>
      <c r="I144" s="57"/>
      <c r="J144" s="57"/>
      <c r="K144" s="57"/>
      <c r="L144" s="57"/>
      <c r="O144" s="56"/>
      <c r="P144" s="56"/>
      <c r="Q144" s="56"/>
      <c r="R144" s="56"/>
      <c r="T144" s="57"/>
    </row>
    <row r="145" spans="1:20" ht="30" customHeight="1" x14ac:dyDescent="0.35">
      <c r="A145" s="876" t="s">
        <v>223</v>
      </c>
      <c r="B145" s="877"/>
      <c r="C145" s="883" t="s">
        <v>229</v>
      </c>
      <c r="D145" s="877" t="s">
        <v>186</v>
      </c>
      <c r="E145" s="844" t="s">
        <v>199</v>
      </c>
      <c r="F145" s="1530">
        <v>15.1</v>
      </c>
      <c r="G145" s="1531">
        <v>0.1</v>
      </c>
      <c r="H145" s="1532">
        <v>0.2</v>
      </c>
      <c r="I145" s="1592">
        <v>0.3</v>
      </c>
      <c r="J145" s="1562">
        <v>2</v>
      </c>
      <c r="K145" s="1563">
        <v>44019</v>
      </c>
      <c r="L145" s="1564" t="s">
        <v>486</v>
      </c>
      <c r="O145" s="84"/>
      <c r="P145" s="1605" t="s">
        <v>221</v>
      </c>
      <c r="Q145" s="1618" t="s">
        <v>395</v>
      </c>
      <c r="R145" s="1618" t="s">
        <v>222</v>
      </c>
      <c r="S145" s="1619" t="s">
        <v>489</v>
      </c>
      <c r="T145" s="1620" t="s">
        <v>490</v>
      </c>
    </row>
    <row r="146" spans="1:20" ht="30" customHeight="1" x14ac:dyDescent="0.35">
      <c r="A146" s="878"/>
      <c r="B146" s="879"/>
      <c r="C146" s="884"/>
      <c r="D146" s="879"/>
      <c r="E146" s="835"/>
      <c r="F146" s="1552">
        <v>24.8</v>
      </c>
      <c r="G146" s="1558">
        <v>0.1</v>
      </c>
      <c r="H146" s="1553">
        <v>-0.1</v>
      </c>
      <c r="I146" s="1594">
        <v>0.2</v>
      </c>
      <c r="J146" s="1565"/>
      <c r="K146" s="1566"/>
      <c r="L146" s="1567"/>
      <c r="O146" s="830" t="s">
        <v>232</v>
      </c>
      <c r="P146" s="1621">
        <f>MAX(I145:I147)</f>
        <v>0.3</v>
      </c>
      <c r="Q146" s="1622">
        <f>MAX(I148:I150)</f>
        <v>1.7</v>
      </c>
      <c r="R146" s="1622">
        <f>MAX(I151:I153)</f>
        <v>9.9000000000000005E-2</v>
      </c>
      <c r="S146" s="1623"/>
      <c r="T146" s="1624"/>
    </row>
    <row r="147" spans="1:20" ht="30" customHeight="1" thickBot="1" x14ac:dyDescent="0.4">
      <c r="A147" s="878"/>
      <c r="B147" s="879"/>
      <c r="C147" s="884"/>
      <c r="D147" s="879"/>
      <c r="E147" s="835"/>
      <c r="F147" s="1544">
        <v>29.7</v>
      </c>
      <c r="G147" s="1555">
        <v>0.1</v>
      </c>
      <c r="H147" s="1596">
        <v>-0.3</v>
      </c>
      <c r="I147" s="1599">
        <v>0.2</v>
      </c>
      <c r="J147" s="1568"/>
      <c r="K147" s="1569"/>
      <c r="L147" s="1570"/>
      <c r="O147" s="831"/>
      <c r="P147" s="1625"/>
      <c r="Q147" s="1626"/>
      <c r="R147" s="1626"/>
      <c r="S147" s="1627"/>
      <c r="T147" s="1628"/>
    </row>
    <row r="148" spans="1:20" ht="30" customHeight="1" x14ac:dyDescent="0.35">
      <c r="A148" s="873" t="s">
        <v>224</v>
      </c>
      <c r="B148" s="874"/>
      <c r="C148" s="884"/>
      <c r="D148" s="879"/>
      <c r="E148" s="835"/>
      <c r="F148" s="1530">
        <v>33.200000000000003</v>
      </c>
      <c r="G148" s="1531">
        <v>0.1</v>
      </c>
      <c r="H148" s="1531">
        <v>-3.2</v>
      </c>
      <c r="I148" s="1586">
        <v>1.7</v>
      </c>
      <c r="J148" s="1562">
        <v>2</v>
      </c>
      <c r="K148" s="1563">
        <v>44020</v>
      </c>
      <c r="L148" s="1564" t="s">
        <v>487</v>
      </c>
      <c r="O148" s="56"/>
      <c r="P148" s="56"/>
      <c r="Q148" s="56"/>
      <c r="R148" s="56"/>
      <c r="T148" s="57"/>
    </row>
    <row r="149" spans="1:20" ht="30" customHeight="1" x14ac:dyDescent="0.35">
      <c r="A149" s="873"/>
      <c r="B149" s="874"/>
      <c r="C149" s="884"/>
      <c r="D149" s="879"/>
      <c r="E149" s="835"/>
      <c r="F149" s="1537">
        <v>51.4</v>
      </c>
      <c r="G149" s="1558">
        <v>0.1</v>
      </c>
      <c r="H149" s="1558">
        <v>-1.5</v>
      </c>
      <c r="I149" s="1600">
        <v>1.7</v>
      </c>
      <c r="J149" s="1565"/>
      <c r="K149" s="1566"/>
      <c r="L149" s="1567"/>
      <c r="O149" s="56"/>
      <c r="P149" s="56"/>
      <c r="Q149" s="56"/>
      <c r="R149" s="56"/>
      <c r="T149" s="57"/>
    </row>
    <row r="150" spans="1:20" ht="30" customHeight="1" thickBot="1" x14ac:dyDescent="0.4">
      <c r="A150" s="873"/>
      <c r="B150" s="874"/>
      <c r="C150" s="884"/>
      <c r="D150" s="879"/>
      <c r="E150" s="835"/>
      <c r="F150" s="1554">
        <v>77.599999999999994</v>
      </c>
      <c r="G150" s="1555">
        <v>0.1</v>
      </c>
      <c r="H150" s="1555">
        <v>2.5</v>
      </c>
      <c r="I150" s="1601">
        <v>1.7</v>
      </c>
      <c r="J150" s="1568"/>
      <c r="K150" s="1569"/>
      <c r="L150" s="1570"/>
      <c r="O150" s="56"/>
      <c r="P150" s="56"/>
      <c r="Q150" s="56"/>
      <c r="R150" s="56"/>
      <c r="T150" s="57"/>
    </row>
    <row r="151" spans="1:20" ht="30" customHeight="1" x14ac:dyDescent="0.35">
      <c r="A151" s="873" t="s">
        <v>245</v>
      </c>
      <c r="B151" s="874"/>
      <c r="C151" s="884"/>
      <c r="D151" s="879"/>
      <c r="E151" s="835"/>
      <c r="F151" s="1561">
        <v>598.08199999999999</v>
      </c>
      <c r="G151" s="1531">
        <v>0.1</v>
      </c>
      <c r="H151" s="1531">
        <v>1.4830000000000001</v>
      </c>
      <c r="I151" s="1586">
        <v>0.08</v>
      </c>
      <c r="J151" s="1593">
        <v>1.96</v>
      </c>
      <c r="K151" s="1563">
        <v>43980</v>
      </c>
      <c r="L151" s="1587" t="s">
        <v>488</v>
      </c>
      <c r="O151" s="57"/>
      <c r="T151" s="57"/>
    </row>
    <row r="152" spans="1:20" ht="30" customHeight="1" x14ac:dyDescent="0.35">
      <c r="A152" s="873"/>
      <c r="B152" s="874"/>
      <c r="C152" s="884"/>
      <c r="D152" s="879"/>
      <c r="E152" s="835"/>
      <c r="F152" s="1537">
        <v>752.79499999999996</v>
      </c>
      <c r="G152" s="1558">
        <v>0.1</v>
      </c>
      <c r="H152" s="1588">
        <v>0.97299999999999998</v>
      </c>
      <c r="I152" s="1582">
        <v>8.4000000000000005E-2</v>
      </c>
      <c r="J152" s="1595">
        <v>1.96</v>
      </c>
      <c r="K152" s="1566">
        <v>42586</v>
      </c>
      <c r="L152" s="1567" t="s">
        <v>200</v>
      </c>
      <c r="O152" s="57"/>
      <c r="T152" s="57"/>
    </row>
    <row r="153" spans="1:20" ht="30" customHeight="1" thickBot="1" x14ac:dyDescent="0.4">
      <c r="A153" s="881"/>
      <c r="B153" s="882"/>
      <c r="C153" s="885"/>
      <c r="D153" s="880"/>
      <c r="E153" s="836"/>
      <c r="F153" s="1554">
        <v>848.6</v>
      </c>
      <c r="G153" s="1555">
        <v>0.1</v>
      </c>
      <c r="H153" s="1555">
        <v>0.65600000000000003</v>
      </c>
      <c r="I153" s="1584">
        <v>9.9000000000000005E-2</v>
      </c>
      <c r="J153" s="1598">
        <v>2</v>
      </c>
      <c r="K153" s="1569">
        <v>42625</v>
      </c>
      <c r="L153" s="1570" t="s">
        <v>201</v>
      </c>
      <c r="O153" s="57"/>
      <c r="T153" s="57"/>
    </row>
    <row r="154" spans="1:20" ht="30" customHeight="1" thickBot="1" x14ac:dyDescent="0.4"/>
    <row r="155" spans="1:20" ht="30" customHeight="1" thickBot="1" x14ac:dyDescent="0.4">
      <c r="A155" s="822" t="s">
        <v>246</v>
      </c>
      <c r="B155" s="823"/>
      <c r="C155" s="823"/>
      <c r="D155" s="823"/>
      <c r="E155" s="823"/>
      <c r="F155" s="824"/>
      <c r="H155" s="822" t="s">
        <v>505</v>
      </c>
      <c r="I155" s="823"/>
      <c r="J155" s="823"/>
      <c r="K155" s="824"/>
    </row>
    <row r="156" spans="1:20" ht="30" customHeight="1" thickBot="1" x14ac:dyDescent="0.4">
      <c r="A156" s="751" t="s">
        <v>106</v>
      </c>
      <c r="B156" s="960" t="s">
        <v>291</v>
      </c>
      <c r="C156" s="961"/>
      <c r="D156" s="961"/>
      <c r="E156" s="961"/>
      <c r="F156" s="962"/>
      <c r="H156" s="825" t="s">
        <v>271</v>
      </c>
      <c r="I156" s="826"/>
      <c r="J156" s="826"/>
      <c r="K156" s="827"/>
    </row>
    <row r="157" spans="1:20" ht="30" customHeight="1" x14ac:dyDescent="0.35">
      <c r="A157" s="106"/>
      <c r="B157" s="963"/>
      <c r="C157" s="963"/>
      <c r="D157" s="964"/>
      <c r="E157" s="964"/>
      <c r="F157" s="183"/>
      <c r="H157" s="752">
        <v>5</v>
      </c>
      <c r="I157" s="580" t="s">
        <v>152</v>
      </c>
      <c r="J157" s="87">
        <v>8200</v>
      </c>
      <c r="K157" s="70"/>
    </row>
    <row r="158" spans="1:20" ht="30" customHeight="1" thickBot="1" x14ac:dyDescent="0.4">
      <c r="A158" s="88" t="s">
        <v>174</v>
      </c>
      <c r="B158" s="956" t="s">
        <v>175</v>
      </c>
      <c r="C158" s="956"/>
      <c r="D158" s="957" t="s">
        <v>343</v>
      </c>
      <c r="E158" s="957"/>
      <c r="F158" s="749" t="s">
        <v>504</v>
      </c>
      <c r="H158" s="753">
        <v>7.8E-2</v>
      </c>
      <c r="I158" s="754"/>
      <c r="J158" s="755">
        <v>5.0000000000000004E-6</v>
      </c>
      <c r="K158" s="756"/>
    </row>
    <row r="159" spans="1:20" ht="30" customHeight="1" thickBot="1" x14ac:dyDescent="0.4">
      <c r="A159" s="88" t="s">
        <v>176</v>
      </c>
      <c r="B159" s="956" t="s">
        <v>177</v>
      </c>
      <c r="C159" s="956"/>
      <c r="D159" s="957" t="s">
        <v>344</v>
      </c>
      <c r="E159" s="957"/>
      <c r="F159" s="749" t="s">
        <v>504</v>
      </c>
    </row>
    <row r="160" spans="1:20" ht="42.75" customHeight="1" thickBot="1" x14ac:dyDescent="0.4">
      <c r="A160" s="89" t="s">
        <v>341</v>
      </c>
      <c r="B160" s="958" t="s">
        <v>345</v>
      </c>
      <c r="C160" s="958"/>
      <c r="D160" s="959" t="s">
        <v>344</v>
      </c>
      <c r="E160" s="959"/>
      <c r="F160" s="750" t="s">
        <v>504</v>
      </c>
      <c r="G160" s="209" t="s">
        <v>244</v>
      </c>
      <c r="H160" s="210" t="str">
        <f>D100</f>
        <v>Fabricante</v>
      </c>
      <c r="I160" s="211" t="str">
        <f>E100</f>
        <v>Identificación / Serie</v>
      </c>
      <c r="J160" s="211" t="str">
        <f>S100</f>
        <v>Fecha de Calibración</v>
      </c>
      <c r="K160" s="211" t="str">
        <f>T100</f>
        <v>Trazabilidad y numero</v>
      </c>
      <c r="L160" s="211" t="s">
        <v>221</v>
      </c>
      <c r="M160" s="211" t="s">
        <v>395</v>
      </c>
      <c r="N160" s="211" t="s">
        <v>222</v>
      </c>
      <c r="O160" s="211" t="s">
        <v>262</v>
      </c>
      <c r="P160" s="211" t="s">
        <v>263</v>
      </c>
      <c r="Q160" s="211" t="s">
        <v>396</v>
      </c>
      <c r="R160" s="211" t="s">
        <v>397</v>
      </c>
      <c r="S160" s="211" t="s">
        <v>264</v>
      </c>
      <c r="T160" s="212" t="s">
        <v>265</v>
      </c>
    </row>
    <row r="161" spans="7:20" ht="50.15" customHeight="1" thickBot="1" x14ac:dyDescent="0.4">
      <c r="G161" s="185"/>
      <c r="H161" s="186"/>
      <c r="I161" s="186"/>
      <c r="J161" s="186"/>
      <c r="K161" s="186"/>
      <c r="L161" s="186"/>
      <c r="M161" s="186"/>
      <c r="N161" s="186"/>
      <c r="O161" s="186"/>
      <c r="P161" s="187"/>
      <c r="Q161" s="187"/>
      <c r="R161" s="187"/>
      <c r="S161" s="187"/>
      <c r="T161" s="91"/>
    </row>
    <row r="162" spans="7:20" ht="50.15" customHeight="1" x14ac:dyDescent="0.35">
      <c r="G162" s="1602" t="str">
        <f>O104</f>
        <v>V-002</v>
      </c>
      <c r="H162" s="114" t="str">
        <f>D103</f>
        <v>Lufft Opus 20</v>
      </c>
      <c r="I162" s="1603" t="str">
        <f>E103</f>
        <v>0,23.0714.0802.024</v>
      </c>
      <c r="J162" s="1604" t="str">
        <f>S103</f>
        <v>2020-07-07 / 2020-7-08 / 2020-05-29</v>
      </c>
      <c r="K162" s="1605" t="str">
        <f>T103</f>
        <v>INM  4629 - INM 4630 - INM 4626</v>
      </c>
      <c r="L162" s="114">
        <f>P104</f>
        <v>0.3</v>
      </c>
      <c r="M162" s="114">
        <f>Q104</f>
        <v>1.7</v>
      </c>
      <c r="N162" s="114">
        <f t="shared" ref="N162" si="22">R104</f>
        <v>9.6000000000000002E-2</v>
      </c>
      <c r="O162" s="117">
        <f>SLOPE(H103:H105,F103:F105)</f>
        <v>-6.0695118834653726E-3</v>
      </c>
      <c r="P162" s="117">
        <f>INTERCEPT(H103:H105,F103:F105)</f>
        <v>0.10727702530028116</v>
      </c>
      <c r="Q162" s="117">
        <f>SLOPE(H106:H108,F106:F108)</f>
        <v>0.1454156155702041</v>
      </c>
      <c r="R162" s="117">
        <f>INTERCEPT(H106:H108,F106:F108)</f>
        <v>-8.3663878253816613</v>
      </c>
      <c r="S162" s="117">
        <f>SLOPE(H109:H111,F109:F111)</f>
        <v>-3.0257969486283411E-3</v>
      </c>
      <c r="T162" s="1606">
        <f>INTERCEPT(H109:H111,F109:F111)</f>
        <v>3.3404896034287122</v>
      </c>
    </row>
    <row r="163" spans="7:20" ht="50.15" customHeight="1" x14ac:dyDescent="0.35">
      <c r="G163" s="1607" t="str">
        <f>O136</f>
        <v>M-010</v>
      </c>
      <c r="H163" s="107" t="str">
        <f>D135</f>
        <v>Lufft Opus 20</v>
      </c>
      <c r="I163" s="1608" t="str">
        <f>E135</f>
        <v>0,26.0714.0802.024</v>
      </c>
      <c r="J163" s="1609" t="str">
        <f>S135</f>
        <v>2020-06-18 2020-06-19- 2020-05-29</v>
      </c>
      <c r="K163" s="1610" t="str">
        <f>T135</f>
        <v>INM 4608 - INM 4609 -   INM 4623</v>
      </c>
      <c r="L163" s="109">
        <f>P136</f>
        <v>0.3</v>
      </c>
      <c r="M163" s="109">
        <f>Q136</f>
        <v>1.7</v>
      </c>
      <c r="N163" s="110">
        <f t="shared" ref="N163" si="23">R136</f>
        <v>9.5000000000000001E-2</v>
      </c>
      <c r="O163" s="108">
        <f>SLOPE(H135:H137,F135:F137)</f>
        <v>-5.9336401065633333E-3</v>
      </c>
      <c r="P163" s="108">
        <f>INTERCEPT(H135:H137,F135:F137)</f>
        <v>0.10472269314604021</v>
      </c>
      <c r="Q163" s="108">
        <f>SLOPE(H138:H140,F138:F140)</f>
        <v>0.12190340402780254</v>
      </c>
      <c r="R163" s="108">
        <f>INTERCEPT(H138:H140,F138:F140)</f>
        <v>-7.1705934770985564</v>
      </c>
      <c r="S163" s="108">
        <f>SLOPE(H141:H143,F141:F143)</f>
        <v>-2.9793134128553089E-3</v>
      </c>
      <c r="T163" s="1611">
        <f>INTERCEPT(H141:H143,F141:F143)</f>
        <v>3.2186527137291572</v>
      </c>
    </row>
    <row r="164" spans="7:20" ht="50.15" customHeight="1" x14ac:dyDescent="0.35">
      <c r="G164" s="1607" t="str">
        <f>O146</f>
        <v>M-011</v>
      </c>
      <c r="H164" s="107" t="str">
        <f>D145</f>
        <v>Lufft Opus 20</v>
      </c>
      <c r="I164" s="1612" t="str">
        <f>E145</f>
        <v>0,22.0714.0802.024</v>
      </c>
      <c r="J164" s="1609" t="str">
        <f>S145</f>
        <v>2020-07-07 / 2020-07-08 / 2020-05-29</v>
      </c>
      <c r="K164" s="1610" t="str">
        <f>T145</f>
        <v>INM-4627-INM 4628-INM 4624</v>
      </c>
      <c r="L164" s="109">
        <f>P146</f>
        <v>0.3</v>
      </c>
      <c r="M164" s="109">
        <f>Q146</f>
        <v>1.7</v>
      </c>
      <c r="N164" s="110">
        <f t="shared" ref="N164" si="24">R146</f>
        <v>9.9000000000000005E-2</v>
      </c>
      <c r="O164" s="108">
        <f>SLOPE(H145:H147,F145:F147)</f>
        <v>-3.3780112298496645E-2</v>
      </c>
      <c r="P164" s="108">
        <f>INTERCEPT(H145:H147,F145:F147)</f>
        <v>0.71703193865845549</v>
      </c>
      <c r="Q164" s="108">
        <f>SLOPE(H148:H150,F148:F150)</f>
        <v>0.130081899205096</v>
      </c>
      <c r="R164" s="108">
        <f>INTERCEPT(H148:H150,F148:F150)</f>
        <v>-7.7664280170221902</v>
      </c>
      <c r="S164" s="108">
        <f>SLOPE(H151:H153,F151:F153)</f>
        <v>-3.3007100073608104E-3</v>
      </c>
      <c r="T164" s="1611">
        <f>INTERCEPT(H151:H153,F151:F153)</f>
        <v>3.4572785816199776</v>
      </c>
    </row>
    <row r="165" spans="7:20" ht="50.15" customHeight="1" x14ac:dyDescent="0.35">
      <c r="G165" s="1607" t="str">
        <f>O115</f>
        <v xml:space="preserve">M-012  </v>
      </c>
      <c r="H165" s="107" t="str">
        <f>D114</f>
        <v>Lufft Opus 20</v>
      </c>
      <c r="I165" s="1608">
        <f>E114</f>
        <v>19506160802033</v>
      </c>
      <c r="J165" s="1609" t="str">
        <f>S114</f>
        <v>2020-06-18 / 2020-06-19/ 2020-05-29</v>
      </c>
      <c r="K165" s="1610" t="str">
        <f>T114</f>
        <v>INM-4610, INM 4611 - INM 4625</v>
      </c>
      <c r="L165" s="107">
        <f>P115</f>
        <v>0.3</v>
      </c>
      <c r="M165" s="107">
        <f>Q115</f>
        <v>1.7</v>
      </c>
      <c r="N165" s="107">
        <f t="shared" ref="N165" si="25">R115</f>
        <v>0.15</v>
      </c>
      <c r="O165" s="108">
        <f>SLOPE(H114:H116,F114:F116)</f>
        <v>2.3901310717039322E-2</v>
      </c>
      <c r="P165" s="108">
        <f>INTERCEPT(H114:H116,F114:F116)</f>
        <v>-0.41878694423027496</v>
      </c>
      <c r="Q165" s="108">
        <f>SLOPE(H117:H119,F117:F119)</f>
        <v>0.14518834517177825</v>
      </c>
      <c r="R165" s="108">
        <f>INTERCEPT(H117:H119,F117:F119)</f>
        <v>-7.2471301262537358</v>
      </c>
      <c r="S165" s="108">
        <f>SLOPE(H120:H122,F120:F122)</f>
        <v>-2.0169926392810842E-3</v>
      </c>
      <c r="T165" s="1611">
        <f>INTERCEPT(H120:H122,F120:F122)</f>
        <v>2.8938779877398297</v>
      </c>
    </row>
    <row r="166" spans="7:20" ht="50.15" customHeight="1" thickBot="1" x14ac:dyDescent="0.4">
      <c r="G166" s="1613" t="str">
        <f>O126</f>
        <v xml:space="preserve">M-013  </v>
      </c>
      <c r="H166" s="111" t="str">
        <f>D125</f>
        <v>Lufft Opus 20</v>
      </c>
      <c r="I166" s="1614">
        <f>E125</f>
        <v>19406160802033</v>
      </c>
      <c r="J166" s="1615" t="str">
        <f>S125</f>
        <v xml:space="preserve">2019-09-24  / 2019-09-25  / 2020-10-02 </v>
      </c>
      <c r="K166" s="1616" t="str">
        <f>T125</f>
        <v>INM 4216 - INM 4217 -  INM 4703</v>
      </c>
      <c r="L166" s="111">
        <f>P126</f>
        <v>0.3</v>
      </c>
      <c r="M166" s="111">
        <f>Q126</f>
        <v>1.7</v>
      </c>
      <c r="N166" s="111">
        <f t="shared" ref="N166" si="26">R126</f>
        <v>0.14000000000000001</v>
      </c>
      <c r="O166" s="112">
        <f>SLOPE(H125:H127,F125:F127)</f>
        <v>1.3499905595065769E-2</v>
      </c>
      <c r="P166" s="112">
        <f>INTERCEPT(H125:H127,F125:F127)</f>
        <v>-0.31364780665869468</v>
      </c>
      <c r="Q166" s="112">
        <f>SLOPE(H128:H130,F128:F130)</f>
        <v>0.101903287496585</v>
      </c>
      <c r="R166" s="112">
        <f>INTERCEPT(H128:H130,F128:F130)</f>
        <v>-5.6461160185775423</v>
      </c>
      <c r="S166" s="112">
        <f>SLOPE(H131:H133,F131:F133)</f>
        <v>-2.274176216186185E-3</v>
      </c>
      <c r="T166" s="1617">
        <f>INTERCEPT(H131:H133,F131:F133)</f>
        <v>3.0586916237565838</v>
      </c>
    </row>
    <row r="200" spans="64:67" ht="35.15" customHeight="1" x14ac:dyDescent="0.35">
      <c r="BL200" s="90"/>
      <c r="BM200" s="90"/>
      <c r="BN200" s="90"/>
      <c r="BO200" s="90"/>
    </row>
    <row r="201" spans="64:67" ht="35.15" customHeight="1" x14ac:dyDescent="0.35">
      <c r="BL201" s="90"/>
      <c r="BM201" s="90"/>
      <c r="BN201" s="90"/>
      <c r="BO201" s="90"/>
    </row>
    <row r="202" spans="64:67" ht="35.15" customHeight="1" x14ac:dyDescent="0.35">
      <c r="BL202" s="90"/>
      <c r="BM202" s="90"/>
      <c r="BN202" s="90"/>
      <c r="BO202" s="90"/>
    </row>
    <row r="203" spans="64:67" ht="35.15" customHeight="1" x14ac:dyDescent="0.35">
      <c r="BL203" s="90"/>
      <c r="BM203" s="90"/>
      <c r="BN203" s="90"/>
      <c r="BO203" s="90"/>
    </row>
  </sheetData>
  <sheetProtection algorithmName="SHA-512" hashValue="du3a37QM3UjhGoDFoMW6lh3uknTFTk9apsraOBRMijpa2fVdVq9JWaPy/OkhrXt64IWuNC3nxLptuYLPdRjIHA==" saltValue="PdQaE3VFuzf7qSaPKGOqEA==" spinCount="100000" sheet="1" objects="1" scenarios="1"/>
  <mergeCells count="170">
    <mergeCell ref="V25:V26"/>
    <mergeCell ref="C23:V24"/>
    <mergeCell ref="V38:V54"/>
    <mergeCell ref="V55:V70"/>
    <mergeCell ref="O25:O26"/>
    <mergeCell ref="M25:M26"/>
    <mergeCell ref="A155:F155"/>
    <mergeCell ref="S114:S116"/>
    <mergeCell ref="T114:T116"/>
    <mergeCell ref="A117:B119"/>
    <mergeCell ref="J117:J119"/>
    <mergeCell ref="K117:K119"/>
    <mergeCell ref="L117:L119"/>
    <mergeCell ref="J109:J111"/>
    <mergeCell ref="L100:L101"/>
    <mergeCell ref="O100:O101"/>
    <mergeCell ref="P100:R101"/>
    <mergeCell ref="C103:C111"/>
    <mergeCell ref="O104:O105"/>
    <mergeCell ref="E103:E111"/>
    <mergeCell ref="T103:T105"/>
    <mergeCell ref="D103:D111"/>
    <mergeCell ref="A106:B108"/>
    <mergeCell ref="K106:K108"/>
    <mergeCell ref="B158:C158"/>
    <mergeCell ref="D158:E158"/>
    <mergeCell ref="B159:C159"/>
    <mergeCell ref="D159:E159"/>
    <mergeCell ref="B160:C160"/>
    <mergeCell ref="D160:E160"/>
    <mergeCell ref="B156:F156"/>
    <mergeCell ref="B157:C157"/>
    <mergeCell ref="D157:E157"/>
    <mergeCell ref="M5:M6"/>
    <mergeCell ref="N5:N6"/>
    <mergeCell ref="C3:N4"/>
    <mergeCell ref="B28:B32"/>
    <mergeCell ref="U25:U26"/>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L14:L15"/>
    <mergeCell ref="D5:D6"/>
    <mergeCell ref="E5:E6"/>
    <mergeCell ref="F5:F6"/>
    <mergeCell ref="G5:G6"/>
    <mergeCell ref="H5:H6"/>
    <mergeCell ref="I5:I6"/>
    <mergeCell ref="J5:J6"/>
    <mergeCell ref="K5:K6"/>
    <mergeCell ref="C12:L13"/>
    <mergeCell ref="S100:S101"/>
    <mergeCell ref="T100:T101"/>
    <mergeCell ref="J103:J105"/>
    <mergeCell ref="J106:J108"/>
    <mergeCell ref="S103:S105"/>
    <mergeCell ref="K109:K111"/>
    <mergeCell ref="A103:B105"/>
    <mergeCell ref="J100:J101"/>
    <mergeCell ref="C14:C15"/>
    <mergeCell ref="D14:D15"/>
    <mergeCell ref="E14:E15"/>
    <mergeCell ref="F14:F15"/>
    <mergeCell ref="H14:H15"/>
    <mergeCell ref="I14:I15"/>
    <mergeCell ref="J14:J15"/>
    <mergeCell ref="K14:K15"/>
    <mergeCell ref="H100:H101"/>
    <mergeCell ref="I100:I101"/>
    <mergeCell ref="G14:G15"/>
    <mergeCell ref="A120:B122"/>
    <mergeCell ref="A109:B111"/>
    <mergeCell ref="A114:B116"/>
    <mergeCell ref="D114:D122"/>
    <mergeCell ref="J114:J116"/>
    <mergeCell ref="K114:K116"/>
    <mergeCell ref="L114:L116"/>
    <mergeCell ref="L103:L105"/>
    <mergeCell ref="L106:L108"/>
    <mergeCell ref="L109:L111"/>
    <mergeCell ref="K103:K105"/>
    <mergeCell ref="S125:S127"/>
    <mergeCell ref="T125:T127"/>
    <mergeCell ref="A128:B130"/>
    <mergeCell ref="J128:J130"/>
    <mergeCell ref="K128:K130"/>
    <mergeCell ref="L128:L130"/>
    <mergeCell ref="K125:K127"/>
    <mergeCell ref="A131:B133"/>
    <mergeCell ref="J131:J133"/>
    <mergeCell ref="K131:K133"/>
    <mergeCell ref="L131:L133"/>
    <mergeCell ref="C125:C133"/>
    <mergeCell ref="L125:L127"/>
    <mergeCell ref="A125:B127"/>
    <mergeCell ref="D125:D133"/>
    <mergeCell ref="J125:J127"/>
    <mergeCell ref="A135:B137"/>
    <mergeCell ref="D135:D143"/>
    <mergeCell ref="J135:J137"/>
    <mergeCell ref="K135:K137"/>
    <mergeCell ref="L135:L137"/>
    <mergeCell ref="A141:B143"/>
    <mergeCell ref="J141:J143"/>
    <mergeCell ref="K141:K143"/>
    <mergeCell ref="L141:L143"/>
    <mergeCell ref="C135:C143"/>
    <mergeCell ref="V28:V34"/>
    <mergeCell ref="B73:B91"/>
    <mergeCell ref="V73:V91"/>
    <mergeCell ref="B71:B72"/>
    <mergeCell ref="S145:S147"/>
    <mergeCell ref="A148:B150"/>
    <mergeCell ref="J148:J150"/>
    <mergeCell ref="K148:K150"/>
    <mergeCell ref="L148:L150"/>
    <mergeCell ref="A145:B147"/>
    <mergeCell ref="D145:D153"/>
    <mergeCell ref="J145:J147"/>
    <mergeCell ref="K145:K147"/>
    <mergeCell ref="A151:B153"/>
    <mergeCell ref="J151:J153"/>
    <mergeCell ref="K151:K153"/>
    <mergeCell ref="C145:C153"/>
    <mergeCell ref="L151:L153"/>
    <mergeCell ref="L145:L147"/>
    <mergeCell ref="T135:T137"/>
    <mergeCell ref="A138:B140"/>
    <mergeCell ref="T145:T147"/>
    <mergeCell ref="J138:J140"/>
    <mergeCell ref="K138:K140"/>
    <mergeCell ref="H155:K155"/>
    <mergeCell ref="H156:K156"/>
    <mergeCell ref="L5:L6"/>
    <mergeCell ref="O115:O116"/>
    <mergeCell ref="O126:O127"/>
    <mergeCell ref="O136:O137"/>
    <mergeCell ref="O146:O147"/>
    <mergeCell ref="E114:E122"/>
    <mergeCell ref="J120:J122"/>
    <mergeCell ref="K120:K122"/>
    <mergeCell ref="L120:L122"/>
    <mergeCell ref="E125:E133"/>
    <mergeCell ref="E135:E143"/>
    <mergeCell ref="E145:E153"/>
    <mergeCell ref="C97:T98"/>
    <mergeCell ref="C99:T99"/>
    <mergeCell ref="D100:D101"/>
    <mergeCell ref="E100:E101"/>
    <mergeCell ref="F100:F101"/>
    <mergeCell ref="G100:G101"/>
    <mergeCell ref="S135:S137"/>
    <mergeCell ref="C114:C122"/>
    <mergeCell ref="K100:K101"/>
    <mergeCell ref="L138:L140"/>
  </mergeCells>
  <phoneticPr fontId="67" type="noConversion"/>
  <pageMargins left="0.70866141732283472" right="0.70866141732283472" top="0.74803149606299213" bottom="0.74803149606299213" header="0.31496062992125984" footer="0.31496062992125984"/>
  <pageSetup scale="10" orientation="landscape" horizontalDpi="4294967293" r:id="rId1"/>
  <headerFooter>
    <oddFooter>&amp;RRT03-F12 Vr.12 (2020-11-25)
Página &amp;P de 3</oddFooter>
  </headerFooter>
  <rowBreaks count="2" manualBreakCount="2">
    <brk id="91" max="16383" man="1"/>
    <brk id="113" max="16383" man="1"/>
  </rowBreaks>
  <ignoredErrors>
    <ignoredError sqref="P104:R104 P126:Q126 P136:R136 P146:R146 O162:O166 P162:P166 Q162:Q166 R162:R166 S162:S166 T162:T16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Z144"/>
  <sheetViews>
    <sheetView showGridLines="0" tabSelected="1" view="pageBreakPreview" zoomScale="50" zoomScaleNormal="80" zoomScaleSheetLayoutView="50" workbookViewId="0">
      <selection activeCell="I13" sqref="I13:J13"/>
    </sheetView>
  </sheetViews>
  <sheetFormatPr baseColWidth="10" defaultColWidth="15.7265625" defaultRowHeight="35.15" customHeight="1" x14ac:dyDescent="0.3"/>
  <cols>
    <col min="1" max="1" width="16.7265625" style="1" customWidth="1"/>
    <col min="2" max="4" width="16.7265625" style="6" customWidth="1"/>
    <col min="5" max="5" width="20.453125" style="6" customWidth="1"/>
    <col min="6" max="11" width="16.7265625" style="6" customWidth="1"/>
    <col min="12" max="12" width="19.453125" style="1" customWidth="1"/>
    <col min="13" max="13" width="19" style="1" customWidth="1"/>
    <col min="14" max="16" width="18.7265625" style="1" customWidth="1"/>
    <col min="17" max="17" width="14.26953125" style="1" customWidth="1"/>
    <col min="18" max="18" width="11.26953125" style="519" hidden="1" customWidth="1"/>
    <col min="19" max="20" width="10.81640625" style="519" hidden="1" customWidth="1"/>
    <col min="21" max="21" width="12.26953125" style="519" hidden="1" customWidth="1"/>
    <col min="22" max="22" width="10.7265625" style="519" hidden="1" customWidth="1"/>
    <col min="23" max="23" width="7.1796875" style="519" hidden="1" customWidth="1"/>
    <col min="24" max="24" width="5.81640625" style="519" hidden="1" customWidth="1"/>
    <col min="25" max="25" width="1.81640625" style="519" hidden="1" customWidth="1"/>
    <col min="26" max="16384" width="15.7265625" style="1"/>
  </cols>
  <sheetData>
    <row r="1" spans="1:25" ht="35.15" customHeight="1" thickBot="1" x14ac:dyDescent="0.35">
      <c r="A1" s="1143"/>
      <c r="B1" s="1143"/>
      <c r="C1" s="1143"/>
      <c r="D1" s="1144" t="s">
        <v>238</v>
      </c>
      <c r="E1" s="1145"/>
      <c r="F1" s="1145"/>
      <c r="G1" s="1145"/>
      <c r="H1" s="1145"/>
      <c r="I1" s="1145"/>
      <c r="J1" s="1145"/>
      <c r="K1" s="1145"/>
      <c r="L1" s="1145"/>
      <c r="M1" s="1145"/>
      <c r="N1" s="1145"/>
      <c r="O1" s="1145"/>
      <c r="P1" s="1145"/>
      <c r="Q1" s="1146"/>
    </row>
    <row r="2" spans="1:25" ht="35.15" customHeight="1" thickBot="1" x14ac:dyDescent="0.35">
      <c r="A2" s="1143"/>
      <c r="B2" s="1143"/>
      <c r="C2" s="1143"/>
      <c r="D2" s="1147"/>
      <c r="E2" s="1148"/>
      <c r="F2" s="1148"/>
      <c r="G2" s="1148"/>
      <c r="H2" s="1148"/>
      <c r="I2" s="1148"/>
      <c r="J2" s="1148"/>
      <c r="K2" s="1148"/>
      <c r="L2" s="1148"/>
      <c r="M2" s="1148"/>
      <c r="N2" s="1148"/>
      <c r="O2" s="1148"/>
      <c r="P2" s="1148"/>
      <c r="Q2" s="1149"/>
    </row>
    <row r="3" spans="1:25" ht="35.15" customHeight="1" thickBot="1" x14ac:dyDescent="0.35">
      <c r="A3" s="1143"/>
      <c r="B3" s="1143"/>
      <c r="C3" s="1143"/>
      <c r="D3" s="1150"/>
      <c r="E3" s="1151"/>
      <c r="F3" s="1151"/>
      <c r="G3" s="1151"/>
      <c r="H3" s="1151"/>
      <c r="I3" s="1151"/>
      <c r="J3" s="1151"/>
      <c r="K3" s="1151"/>
      <c r="L3" s="1151"/>
      <c r="M3" s="1151"/>
      <c r="N3" s="1151"/>
      <c r="O3" s="1151"/>
      <c r="P3" s="1151"/>
      <c r="Q3" s="1152"/>
    </row>
    <row r="4" spans="1:25" s="5" customFormat="1" ht="15" customHeight="1" thickBot="1" x14ac:dyDescent="0.35">
      <c r="A4" s="2"/>
      <c r="B4" s="2"/>
      <c r="C4" s="2"/>
      <c r="D4" s="2"/>
      <c r="E4" s="2"/>
      <c r="F4" s="2"/>
      <c r="G4" s="2"/>
      <c r="H4" s="2"/>
      <c r="I4" s="2"/>
      <c r="J4" s="2"/>
      <c r="K4" s="3"/>
      <c r="L4" s="4"/>
      <c r="R4" s="520"/>
      <c r="S4" s="520"/>
      <c r="T4" s="520"/>
      <c r="U4" s="520"/>
      <c r="V4" s="520"/>
      <c r="W4" s="520"/>
      <c r="X4" s="520"/>
      <c r="Y4" s="520"/>
    </row>
    <row r="5" spans="1:25" ht="44.25" customHeight="1" thickBot="1" x14ac:dyDescent="0.35">
      <c r="B5" s="44" t="s">
        <v>6</v>
      </c>
      <c r="C5" s="45" t="s">
        <v>107</v>
      </c>
      <c r="D5" s="45" t="s">
        <v>206</v>
      </c>
      <c r="E5" s="45" t="s">
        <v>108</v>
      </c>
      <c r="F5" s="45" t="s">
        <v>71</v>
      </c>
      <c r="G5" s="46" t="s">
        <v>7</v>
      </c>
      <c r="H5" s="46" t="s">
        <v>332</v>
      </c>
      <c r="I5" s="577" t="s">
        <v>2</v>
      </c>
      <c r="J5" s="979"/>
      <c r="L5" s="7"/>
    </row>
    <row r="6" spans="1:25" ht="60" customHeight="1" thickBot="1" x14ac:dyDescent="0.35">
      <c r="A6" s="8"/>
      <c r="B6" s="42" t="e">
        <f>VLOOKUP($J$5,'DATOS &amp; '!$C$7:$K$22,2,FALSE)</f>
        <v>#N/A</v>
      </c>
      <c r="C6" s="50" t="e">
        <f>VLOOKUP($J$5,'DATOS &amp; '!$C$7:$K$22,3,FALSE)</f>
        <v>#N/A</v>
      </c>
      <c r="D6" s="42" t="e">
        <f>VLOOKUP($J$5,'DATOS &amp; '!$C$7:$K$22,8,FALSE)</f>
        <v>#N/A</v>
      </c>
      <c r="E6" s="42" t="e">
        <f>VLOOKUP($J$5,'DATOS &amp; '!$C$7:$K$22,6,FALSE)</f>
        <v>#N/A</v>
      </c>
      <c r="F6" s="50" t="e">
        <f>VLOOKUP($J$5,'DATOS &amp; '!$C$7:$K$22,7,FALSE)</f>
        <v>#N/A</v>
      </c>
      <c r="G6" s="42" t="e">
        <f>VLOOKUP($J$5,'DATOS &amp; '!$C$7:$K$22,4,FALSE)</f>
        <v>#N/A</v>
      </c>
      <c r="H6" s="42" t="e">
        <f>VLOOKUP($J$5,'DATOS &amp; '!$C$7:$K$22,5,FALSE)</f>
        <v>#N/A</v>
      </c>
      <c r="I6" s="42" t="e">
        <f>VLOOKUP($J$5,'DATOS &amp; '!$C$7:$K$22,9,FALSE)</f>
        <v>#N/A</v>
      </c>
      <c r="J6" s="980"/>
      <c r="L6" s="7"/>
    </row>
    <row r="7" spans="1:25" ht="10" customHeight="1" thickBot="1" x14ac:dyDescent="0.35">
      <c r="B7" s="9"/>
      <c r="C7" s="10"/>
      <c r="D7" s="11"/>
      <c r="E7" s="10"/>
      <c r="F7" s="9"/>
      <c r="G7" s="12"/>
      <c r="H7" s="13"/>
      <c r="I7" s="9"/>
      <c r="J7" s="10"/>
      <c r="K7" s="10"/>
      <c r="L7" s="7"/>
    </row>
    <row r="8" spans="1:25" ht="35.15" customHeight="1" thickBot="1" x14ac:dyDescent="0.35">
      <c r="B8" s="974" t="s">
        <v>9</v>
      </c>
      <c r="C8" s="975"/>
      <c r="D8" s="975"/>
      <c r="E8" s="976"/>
      <c r="F8" s="99"/>
      <c r="G8" s="1024" t="s">
        <v>194</v>
      </c>
      <c r="H8" s="1025"/>
      <c r="I8" s="1025"/>
      <c r="J8" s="1103"/>
      <c r="K8" s="100"/>
      <c r="L8" s="213"/>
    </row>
    <row r="9" spans="1:25" ht="35.15" customHeight="1" x14ac:dyDescent="0.3">
      <c r="B9" s="1108" t="s">
        <v>3</v>
      </c>
      <c r="C9" s="1109"/>
      <c r="D9" s="164" t="e">
        <f>VLOOKUP($F$8,'DATOS &amp; '!$C$16:$L$22,2,FALSE)</f>
        <v>#N/A</v>
      </c>
      <c r="E9" s="165"/>
      <c r="F9" s="15"/>
      <c r="G9" s="1106" t="s">
        <v>195</v>
      </c>
      <c r="H9" s="1107"/>
      <c r="I9" s="1104" t="e">
        <f>VLOOKUP($K$8,'DATOS &amp; '!$B$27:$S$89,1,FALSE)</f>
        <v>#N/A</v>
      </c>
      <c r="J9" s="1105"/>
      <c r="K9" s="14"/>
      <c r="L9" s="14"/>
    </row>
    <row r="10" spans="1:25" ht="35.15" customHeight="1" x14ac:dyDescent="0.3">
      <c r="B10" s="977" t="s">
        <v>8</v>
      </c>
      <c r="C10" s="978"/>
      <c r="D10" s="47" t="e">
        <f>VLOOKUP($F$8,'DATOS &amp; '!$C$16:$L$22,3,FALSE)</f>
        <v>#N/A</v>
      </c>
      <c r="E10" s="166"/>
      <c r="F10" s="15"/>
      <c r="G10" s="977" t="s">
        <v>3</v>
      </c>
      <c r="H10" s="978"/>
      <c r="I10" s="1110" t="e">
        <f>VLOOKUP($K$8,'DATOS &amp; '!$B$27:$V$89,4,FALSE)</f>
        <v>#N/A</v>
      </c>
      <c r="J10" s="1111"/>
      <c r="L10" s="14"/>
      <c r="M10" s="16"/>
      <c r="N10" s="16"/>
      <c r="O10" s="16"/>
      <c r="P10" s="16"/>
    </row>
    <row r="11" spans="1:25" ht="35.15" customHeight="1" x14ac:dyDescent="0.3">
      <c r="B11" s="977" t="s">
        <v>1</v>
      </c>
      <c r="C11" s="978"/>
      <c r="D11" s="49" t="e">
        <f>VLOOKUP($F$8,'DATOS &amp; '!$C$16:$L$22,4,FALSE)</f>
        <v>#N/A</v>
      </c>
      <c r="E11" s="192"/>
      <c r="F11" s="15"/>
      <c r="G11" s="1164" t="s">
        <v>0</v>
      </c>
      <c r="H11" s="1165"/>
      <c r="I11" s="1110" t="e">
        <f>VLOOKUP($K$8,'DATOS &amp; '!$B$27:$V$89,3,FALSE)</f>
        <v>#N/A</v>
      </c>
      <c r="J11" s="1111"/>
      <c r="K11" s="14"/>
      <c r="L11" s="14"/>
      <c r="P11" s="16"/>
    </row>
    <row r="12" spans="1:25" s="16" customFormat="1" ht="35.15" customHeight="1" x14ac:dyDescent="0.3">
      <c r="B12" s="977" t="s">
        <v>215</v>
      </c>
      <c r="C12" s="1102"/>
      <c r="D12" s="49" t="e">
        <f>VLOOKUP($F$8,'DATOS &amp; '!$C$16:$L$22,5,FALSE)</f>
        <v>#N/A</v>
      </c>
      <c r="E12" s="166"/>
      <c r="F12" s="17"/>
      <c r="G12" s="977" t="s">
        <v>2</v>
      </c>
      <c r="H12" s="978"/>
      <c r="I12" s="1112" t="e">
        <f>VLOOKUP($K$8,'DATOS &amp; '!$B$27:$V$89,7,FALSE)</f>
        <v>#N/A</v>
      </c>
      <c r="J12" s="1113"/>
      <c r="K12" s="10"/>
      <c r="L12" s="18"/>
      <c r="Q12" s="1"/>
      <c r="R12" s="519"/>
      <c r="S12" s="519"/>
      <c r="T12" s="519"/>
      <c r="U12" s="521"/>
      <c r="V12" s="521"/>
      <c r="W12" s="521"/>
      <c r="X12" s="521"/>
      <c r="Y12" s="521"/>
    </row>
    <row r="13" spans="1:25" s="16" customFormat="1" ht="35.15" customHeight="1" x14ac:dyDescent="0.3">
      <c r="B13" s="1067" t="s">
        <v>438</v>
      </c>
      <c r="C13" s="1068"/>
      <c r="D13" s="49" t="e">
        <f>VLOOKUP($F$8,'DATOS &amp; '!$C$16:$L$22,6,FALSE)</f>
        <v>#N/A</v>
      </c>
      <c r="E13" s="166"/>
      <c r="F13" s="17"/>
      <c r="G13" s="977" t="s">
        <v>184</v>
      </c>
      <c r="H13" s="978"/>
      <c r="I13" s="1114" t="e">
        <f>VLOOKUP($K$8,'DATOS &amp; '!$B$27:$V$89,8,FALSE)</f>
        <v>#N/A</v>
      </c>
      <c r="J13" s="1115"/>
      <c r="K13" s="10"/>
      <c r="L13" s="18"/>
      <c r="R13" s="521"/>
      <c r="S13" s="521"/>
      <c r="T13" s="521"/>
      <c r="U13" s="521"/>
      <c r="V13" s="521"/>
      <c r="W13" s="521"/>
      <c r="X13" s="521"/>
      <c r="Y13" s="521"/>
    </row>
    <row r="14" spans="1:25" s="16" customFormat="1" ht="35.15" customHeight="1" x14ac:dyDescent="0.3">
      <c r="B14" s="1069" t="s">
        <v>207</v>
      </c>
      <c r="C14" s="1070"/>
      <c r="D14" s="48" t="e">
        <f>VLOOKUP($F$8,'DATOS &amp; '!$C$16:$L$22,7,FALSE)</f>
        <v>#N/A</v>
      </c>
      <c r="E14" s="166"/>
      <c r="F14" s="17"/>
      <c r="G14" s="977" t="s">
        <v>90</v>
      </c>
      <c r="H14" s="978"/>
      <c r="I14" s="1110" t="e">
        <f>VLOOKUP($K$8,'DATOS &amp; '!$B$27:$V$89,20,FALSE)</f>
        <v>#N/A</v>
      </c>
      <c r="J14" s="1111"/>
      <c r="K14" s="10"/>
      <c r="L14" s="18"/>
      <c r="R14" s="521"/>
      <c r="S14" s="521"/>
      <c r="T14" s="521"/>
      <c r="U14" s="521"/>
      <c r="V14" s="521"/>
      <c r="W14" s="521"/>
      <c r="X14" s="521"/>
      <c r="Y14" s="521"/>
    </row>
    <row r="15" spans="1:25" s="16" customFormat="1" ht="35.15" customHeight="1" thickBot="1" x14ac:dyDescent="0.35">
      <c r="B15" s="1166" t="s">
        <v>208</v>
      </c>
      <c r="C15" s="1167"/>
      <c r="D15" s="167" t="e">
        <f>VLOOKUP($F$8,'DATOS &amp; '!$C$16:$L$22,8,FALSE)</f>
        <v>#N/A</v>
      </c>
      <c r="E15" s="168"/>
      <c r="F15" s="17"/>
      <c r="G15" s="1170" t="s">
        <v>244</v>
      </c>
      <c r="H15" s="1171"/>
      <c r="I15" s="1172" t="e">
        <f>VLOOKUP($K$8,'DATOS &amp; '!$B$27:$V$89,19,FALSE)</f>
        <v>#N/A</v>
      </c>
      <c r="J15" s="1173"/>
      <c r="K15" s="10"/>
      <c r="L15" s="10"/>
      <c r="R15" s="521"/>
      <c r="S15" s="521"/>
      <c r="T15" s="521"/>
      <c r="U15" s="521"/>
      <c r="V15" s="521"/>
      <c r="W15" s="521"/>
      <c r="X15" s="521"/>
      <c r="Y15" s="521"/>
    </row>
    <row r="16" spans="1:25" s="16" customFormat="1" ht="10" customHeight="1" thickBot="1" x14ac:dyDescent="0.35">
      <c r="B16" s="19"/>
      <c r="C16" s="19"/>
      <c r="D16" s="19"/>
      <c r="E16" s="19"/>
      <c r="F16" s="19"/>
      <c r="G16" s="20"/>
      <c r="H16" s="20"/>
      <c r="I16" s="21"/>
      <c r="J16" s="19"/>
      <c r="K16" s="10"/>
      <c r="L16" s="10"/>
      <c r="R16" s="521"/>
      <c r="S16" s="521"/>
      <c r="T16" s="521"/>
      <c r="U16" s="521"/>
      <c r="V16" s="521"/>
      <c r="W16" s="521"/>
      <c r="X16" s="521"/>
      <c r="Y16" s="521"/>
    </row>
    <row r="17" spans="1:25" s="16" customFormat="1" ht="35.15" customHeight="1" thickBot="1" x14ac:dyDescent="0.4">
      <c r="B17" s="1024" t="s">
        <v>10</v>
      </c>
      <c r="C17" s="1025"/>
      <c r="D17" s="975"/>
      <c r="E17" s="975"/>
      <c r="F17" s="975"/>
      <c r="G17" s="975"/>
      <c r="H17" s="975"/>
      <c r="I17" s="975"/>
      <c r="J17" s="976"/>
      <c r="K17" s="10"/>
      <c r="L17" s="10"/>
      <c r="R17" s="521"/>
      <c r="S17" s="521"/>
      <c r="T17" s="521"/>
      <c r="U17" s="521"/>
      <c r="V17" s="521"/>
      <c r="W17" s="521"/>
      <c r="X17" s="521"/>
      <c r="Y17" s="521"/>
    </row>
    <row r="18" spans="1:25" s="16" customFormat="1" ht="35.15" customHeight="1" thickBot="1" x14ac:dyDescent="0.35">
      <c r="B18" s="1045" t="s">
        <v>77</v>
      </c>
      <c r="C18" s="1046"/>
      <c r="D18" s="1037"/>
      <c r="E18" s="161"/>
      <c r="F18" s="1039"/>
      <c r="G18" s="1026" t="s">
        <v>209</v>
      </c>
      <c r="H18" s="1027"/>
      <c r="I18" s="1027"/>
      <c r="J18" s="1028"/>
      <c r="K18" s="10"/>
      <c r="L18" s="10"/>
      <c r="R18" s="521"/>
      <c r="S18" s="521"/>
      <c r="T18" s="521"/>
      <c r="U18" s="521"/>
      <c r="V18" s="521"/>
      <c r="W18" s="521"/>
      <c r="X18" s="521"/>
      <c r="Y18" s="521"/>
    </row>
    <row r="19" spans="1:25" s="16" customFormat="1" ht="35.15" customHeight="1" thickBot="1" x14ac:dyDescent="0.4">
      <c r="B19" s="1047"/>
      <c r="C19" s="1048"/>
      <c r="D19" s="1038"/>
      <c r="E19" s="578"/>
      <c r="F19" s="1040"/>
      <c r="G19" s="1029" t="s">
        <v>78</v>
      </c>
      <c r="H19" s="1020" t="s">
        <v>93</v>
      </c>
      <c r="I19" s="1020" t="s">
        <v>12</v>
      </c>
      <c r="J19" s="1022" t="s">
        <v>210</v>
      </c>
      <c r="K19" s="10"/>
      <c r="L19" s="10"/>
      <c r="R19" s="521"/>
      <c r="S19" s="521"/>
      <c r="T19" s="521"/>
      <c r="U19" s="521"/>
      <c r="V19" s="521"/>
      <c r="W19" s="521"/>
      <c r="X19" s="521"/>
      <c r="Y19" s="521"/>
    </row>
    <row r="20" spans="1:25" s="16" customFormat="1" ht="35.15" customHeight="1" thickBot="1" x14ac:dyDescent="0.4">
      <c r="B20" s="1049"/>
      <c r="C20" s="1050"/>
      <c r="D20" s="1033"/>
      <c r="E20" s="1034"/>
      <c r="F20" s="1034"/>
      <c r="G20" s="1030"/>
      <c r="H20" s="1021"/>
      <c r="I20" s="1021"/>
      <c r="J20" s="1023"/>
      <c r="K20" s="10"/>
      <c r="L20" s="10"/>
      <c r="R20" s="521"/>
      <c r="S20" s="521"/>
      <c r="T20" s="521"/>
      <c r="U20" s="521"/>
      <c r="V20" s="521"/>
      <c r="W20" s="521"/>
      <c r="X20" s="521"/>
      <c r="Y20" s="521"/>
    </row>
    <row r="21" spans="1:25" s="16" customFormat="1" ht="35.15" customHeight="1" thickBot="1" x14ac:dyDescent="0.4">
      <c r="B21" s="1045" t="s">
        <v>11</v>
      </c>
      <c r="C21" s="1046"/>
      <c r="D21" s="1035"/>
      <c r="E21" s="1036"/>
      <c r="F21" s="1036"/>
      <c r="G21" s="373" t="e">
        <f>VLOOKUP($K$21,'DATOS &amp; '!$C$27:$V$92,8,FALSE)</f>
        <v>#N/A</v>
      </c>
      <c r="H21" s="177" t="e">
        <f>VLOOKUP($K$21,'DATOS &amp; '!$C$27:$V$92,14,FALSE)</f>
        <v>#N/A</v>
      </c>
      <c r="I21" s="374" t="e">
        <f>VLOOKUP($K$21,'DATOS &amp; '!$C$27:$V$92,16,FALSE)</f>
        <v>#N/A</v>
      </c>
      <c r="J21" s="375" t="e">
        <f>VLOOKUP($K$21,'DATOS &amp; '!$C$27:$V$92,5,FALSE)</f>
        <v>#N/A</v>
      </c>
      <c r="K21" s="162"/>
      <c r="L21" s="10"/>
      <c r="R21" s="521"/>
      <c r="S21" s="521"/>
      <c r="T21" s="521"/>
      <c r="U21" s="521"/>
      <c r="V21" s="521"/>
      <c r="W21" s="521"/>
      <c r="X21" s="521"/>
      <c r="Y21" s="521"/>
    </row>
    <row r="22" spans="1:25" s="16" customFormat="1" ht="35.15" customHeight="1" thickBot="1" x14ac:dyDescent="0.4">
      <c r="B22" s="1047"/>
      <c r="C22" s="1048"/>
      <c r="D22" s="578"/>
      <c r="E22" s="578"/>
      <c r="F22" s="579"/>
      <c r="G22" s="583" t="e">
        <f>VLOOKUP($K$22,'DATOS &amp; '!$C$27:$V$92,8,FALSE)</f>
        <v>#N/A</v>
      </c>
      <c r="H22" s="277" t="e">
        <f>VLOOKUP($K$22,'DATOS &amp; '!$C$27:$V$92,14,FALSE)</f>
        <v>#N/A</v>
      </c>
      <c r="I22" s="43" t="e">
        <f>VLOOKUP($K$22,'DATOS &amp; '!$C$27:$V$92,16,FALSE)</f>
        <v>#N/A</v>
      </c>
      <c r="J22" s="163" t="e">
        <f>VLOOKUP($K$22,'DATOS &amp; '!$C$27:$V$92,5,FALSE)</f>
        <v>#N/A</v>
      </c>
      <c r="K22" s="162"/>
      <c r="L22" s="10"/>
      <c r="R22" s="521"/>
      <c r="S22" s="521"/>
      <c r="T22" s="521"/>
      <c r="U22" s="521"/>
      <c r="V22" s="521"/>
      <c r="W22" s="521"/>
      <c r="X22" s="521"/>
      <c r="Y22" s="521"/>
    </row>
    <row r="23" spans="1:25" s="16" customFormat="1" ht="35.15" customHeight="1" thickBot="1" x14ac:dyDescent="0.35">
      <c r="A23" s="19"/>
      <c r="B23" s="1049"/>
      <c r="C23" s="1050"/>
      <c r="D23" s="1041"/>
      <c r="E23" s="1042"/>
      <c r="F23" s="1042"/>
      <c r="G23" s="583" t="e">
        <f>VLOOKUP($K$23,'DATOS &amp; '!$C$27:$V$92,8,FALSE)</f>
        <v>#N/A</v>
      </c>
      <c r="H23" s="277" t="e">
        <f>VLOOKUP($K$23,'DATOS &amp; '!$C$27:$V$92,14,FALSE)</f>
        <v>#N/A</v>
      </c>
      <c r="I23" s="188" t="e">
        <f>VLOOKUP($K$23,'DATOS &amp; '!$C$27:$V$92,16,FALSE)</f>
        <v>#N/A</v>
      </c>
      <c r="J23" s="163" t="e">
        <f>VLOOKUP($K$23,'DATOS &amp; '!$C$27:$V$92,5,FALSE)</f>
        <v>#N/A</v>
      </c>
      <c r="K23" s="276"/>
      <c r="L23" s="10"/>
      <c r="R23" s="521"/>
      <c r="S23" s="521"/>
      <c r="T23" s="521"/>
      <c r="U23" s="521"/>
      <c r="V23" s="521"/>
      <c r="W23" s="521"/>
      <c r="X23" s="521"/>
      <c r="Y23" s="521"/>
    </row>
    <row r="24" spans="1:25" s="16" customFormat="1" ht="35.15" customHeight="1" thickBot="1" x14ac:dyDescent="0.35">
      <c r="A24" s="19"/>
      <c r="C24" s="1043" t="s">
        <v>439</v>
      </c>
      <c r="D24" s="1044"/>
      <c r="E24" s="169"/>
      <c r="G24" s="583" t="e">
        <f>VLOOKUP($K$24,'DATOS &amp; '!$C$27:$V$92,8,FALSE)</f>
        <v>#N/A</v>
      </c>
      <c r="H24" s="277" t="e">
        <f>VLOOKUP($K$24,'DATOS &amp; '!$C$27:$V$92,14,FALSE)</f>
        <v>#N/A</v>
      </c>
      <c r="I24" s="188" t="e">
        <f>VLOOKUP($K$24,'DATOS &amp; '!$C$27:$V$92,16,FALSE)</f>
        <v>#N/A</v>
      </c>
      <c r="J24" s="163" t="e">
        <f>VLOOKUP($K$24,'DATOS &amp; '!$C$27:$V$92,5,FALSE)</f>
        <v>#N/A</v>
      </c>
      <c r="K24" s="162"/>
      <c r="L24" s="627"/>
      <c r="R24" s="521"/>
      <c r="S24" s="521"/>
      <c r="T24" s="521"/>
      <c r="U24" s="521"/>
      <c r="V24" s="521"/>
      <c r="W24" s="521"/>
      <c r="X24" s="521"/>
      <c r="Y24" s="521"/>
    </row>
    <row r="25" spans="1:25" s="16" customFormat="1" ht="35.15" customHeight="1" thickBot="1" x14ac:dyDescent="0.35">
      <c r="A25" s="22"/>
      <c r="B25" s="300" t="s">
        <v>193</v>
      </c>
      <c r="C25" s="420" t="s">
        <v>94</v>
      </c>
      <c r="D25" s="421" t="s">
        <v>52</v>
      </c>
      <c r="E25" s="416" t="s">
        <v>110</v>
      </c>
      <c r="G25" s="584" t="e">
        <f>VLOOKUP($K$25,'DATOS &amp; '!$C$27:$V$92,8,FALSE)</f>
        <v>#N/A</v>
      </c>
      <c r="H25" s="628" t="e">
        <f>VLOOKUP($K$25,'DATOS &amp; '!$C$27:$V$92,14,FALSE)</f>
        <v>#N/A</v>
      </c>
      <c r="I25" s="489" t="e">
        <f>VLOOKUP($K$25,'DATOS &amp; '!$C$27:$V$92,16,FALSE)</f>
        <v>#N/A</v>
      </c>
      <c r="J25" s="160" t="e">
        <f>VLOOKUP($K$25,'DATOS &amp; '!$C$27:$V$92,5,FALSE)</f>
        <v>#N/A</v>
      </c>
      <c r="K25" s="162"/>
      <c r="R25" s="521"/>
      <c r="S25" s="521"/>
      <c r="T25" s="521"/>
      <c r="U25" s="521"/>
      <c r="V25" s="521"/>
      <c r="W25" s="521"/>
      <c r="X25" s="521"/>
      <c r="Y25" s="521"/>
    </row>
    <row r="26" spans="1:25" s="16" customFormat="1" ht="35.15" customHeight="1" thickBot="1" x14ac:dyDescent="0.35">
      <c r="A26" s="19"/>
      <c r="B26" s="417" t="e">
        <f>VLOOKUP($E$24,'DATOS &amp; '!$C$27:$V$89,8,FALSE)</f>
        <v>#N/A</v>
      </c>
      <c r="C26" s="418" t="e">
        <f>VLOOKUP($E$24,'DATOS &amp; '!$C$27:$V$89,14,FALSE)</f>
        <v>#N/A</v>
      </c>
      <c r="D26" s="418" t="e">
        <f>VLOOKUP($E$24,'DATOS &amp; '!$C$27:$V$89,16,FALSE)</f>
        <v>#N/A</v>
      </c>
      <c r="E26" s="419" t="e">
        <f>VLOOKUP($E$24,'DATOS &amp; '!$C$27:$V$89,5,FALSE)</f>
        <v>#N/A</v>
      </c>
      <c r="R26" s="521"/>
      <c r="S26" s="521"/>
      <c r="T26" s="521"/>
      <c r="U26" s="521"/>
      <c r="V26" s="521"/>
      <c r="W26" s="521"/>
      <c r="X26" s="521"/>
      <c r="Y26" s="521"/>
    </row>
    <row r="27" spans="1:25" s="16" customFormat="1" ht="36" customHeight="1" thickBot="1" x14ac:dyDescent="0.35">
      <c r="A27" s="19"/>
      <c r="B27" s="1116" t="s">
        <v>216</v>
      </c>
      <c r="C27" s="1117"/>
      <c r="D27" s="1117"/>
      <c r="E27" s="1117"/>
      <c r="F27" s="1117"/>
      <c r="G27" s="1117"/>
      <c r="H27" s="1117"/>
      <c r="I27" s="1117"/>
      <c r="J27" s="1117"/>
      <c r="K27" s="1118"/>
      <c r="R27" s="521"/>
      <c r="S27" s="521"/>
      <c r="T27" s="521"/>
      <c r="U27" s="521"/>
      <c r="V27" s="521"/>
      <c r="W27" s="521"/>
      <c r="X27" s="521"/>
      <c r="Y27" s="521"/>
    </row>
    <row r="28" spans="1:25" ht="49.5" customHeight="1" x14ac:dyDescent="0.3">
      <c r="A28" s="19"/>
      <c r="B28" s="151" t="s">
        <v>3</v>
      </c>
      <c r="C28" s="152" t="e">
        <f>VLOOKUP($K$28,'DATOS &amp; '!$G$154:$T$167,2,FALSE)</f>
        <v>#N/A</v>
      </c>
      <c r="D28" s="153" t="s">
        <v>70</v>
      </c>
      <c r="E28" s="154" t="e">
        <f>VLOOKUP($K$28,'DATOS &amp; '!$G$154:$T$167,3,FALSE)</f>
        <v>#N/A</v>
      </c>
      <c r="F28" s="155" t="s">
        <v>2</v>
      </c>
      <c r="G28" s="1119" t="e">
        <f>VLOOKUP($K$28,'DATOS &amp; '!$G$154:$T$167,5,FALSE)</f>
        <v>#N/A</v>
      </c>
      <c r="H28" s="1120"/>
      <c r="I28" s="153" t="s">
        <v>217</v>
      </c>
      <c r="J28" s="156" t="e">
        <f>VLOOKUP($K$28,'DATOS &amp; '!$G$154:$T$167,4,FALSE)</f>
        <v>#N/A</v>
      </c>
      <c r="K28" s="1031"/>
    </row>
    <row r="29" spans="1:25" ht="35.15" customHeight="1" thickBot="1" x14ac:dyDescent="0.35">
      <c r="A29" s="19"/>
      <c r="B29" s="1098" t="s">
        <v>219</v>
      </c>
      <c r="C29" s="1099"/>
      <c r="D29" s="157" t="s">
        <v>5</v>
      </c>
      <c r="E29" s="158" t="e">
        <f>VLOOKUP($K$28,'DATOS &amp; '!$G$154:$T$167,6,FALSE)</f>
        <v>#N/A</v>
      </c>
      <c r="F29" s="1121" t="s">
        <v>403</v>
      </c>
      <c r="G29" s="1121"/>
      <c r="H29" s="158" t="e">
        <f>VLOOKUP($K$28,'DATOS &amp; '!$G$154:$T$167,7,FALSE)</f>
        <v>#N/A</v>
      </c>
      <c r="I29" s="159" t="s">
        <v>4</v>
      </c>
      <c r="J29" s="160" t="e">
        <f>VLOOKUP($K$28,'DATOS &amp; '!$G$154:$T$167,8,FALSE)</f>
        <v>#N/A</v>
      </c>
      <c r="K29" s="1032"/>
    </row>
    <row r="30" spans="1:25" ht="35.15" customHeight="1" thickBot="1" x14ac:dyDescent="0.35">
      <c r="A30" s="19"/>
      <c r="B30" s="1"/>
      <c r="C30" s="1"/>
      <c r="D30" s="1"/>
      <c r="E30" s="1"/>
      <c r="F30" s="1"/>
      <c r="G30" s="1"/>
      <c r="H30" s="1"/>
      <c r="I30" s="1"/>
      <c r="J30" s="1"/>
      <c r="K30" s="1"/>
    </row>
    <row r="31" spans="1:25" ht="35.15" customHeight="1" thickBot="1" x14ac:dyDescent="0.35">
      <c r="A31" s="23"/>
      <c r="B31" s="974" t="s">
        <v>53</v>
      </c>
      <c r="C31" s="975"/>
      <c r="D31" s="975"/>
      <c r="E31" s="975"/>
      <c r="F31" s="975"/>
      <c r="G31" s="975"/>
      <c r="H31" s="975"/>
      <c r="I31" s="976"/>
      <c r="K31" s="1122" t="s">
        <v>402</v>
      </c>
      <c r="L31" s="1123"/>
    </row>
    <row r="32" spans="1:25" ht="38.25" customHeight="1" thickBot="1" x14ac:dyDescent="0.35">
      <c r="B32" s="216" t="s">
        <v>236</v>
      </c>
      <c r="C32" s="250"/>
      <c r="D32" s="251" t="s">
        <v>5</v>
      </c>
      <c r="E32" s="252"/>
      <c r="F32" s="46" t="s">
        <v>403</v>
      </c>
      <c r="G32" s="252"/>
      <c r="H32" s="247" t="s">
        <v>4</v>
      </c>
      <c r="I32" s="253"/>
      <c r="K32" s="24" t="s">
        <v>46</v>
      </c>
      <c r="L32" s="378" t="e">
        <f>VLOOKUP($K$8,'DATOS &amp; '!$B$27:$V$89,21,FALSE)</f>
        <v>#N/A</v>
      </c>
    </row>
    <row r="33" spans="1:25" ht="35.15" customHeight="1" thickBot="1" x14ac:dyDescent="0.35">
      <c r="A33" s="6"/>
      <c r="B33" s="1051" t="s">
        <v>13</v>
      </c>
      <c r="C33" s="1052"/>
      <c r="D33" s="1052"/>
      <c r="E33" s="1052"/>
      <c r="F33" s="1052"/>
      <c r="G33" s="1053"/>
    </row>
    <row r="34" spans="1:25" ht="35.15" customHeight="1" thickBot="1" x14ac:dyDescent="0.35">
      <c r="A34" s="6"/>
      <c r="C34" s="246" t="s">
        <v>48</v>
      </c>
      <c r="D34" s="247" t="s">
        <v>47</v>
      </c>
      <c r="E34" s="248">
        <f>E19</f>
        <v>0</v>
      </c>
      <c r="F34" s="247" t="s">
        <v>41</v>
      </c>
      <c r="G34" s="249">
        <f>E34*1000</f>
        <v>0</v>
      </c>
    </row>
    <row r="35" spans="1:25" ht="35.15" customHeight="1" x14ac:dyDescent="0.3">
      <c r="A35" s="6"/>
      <c r="B35" s="391" t="s">
        <v>14</v>
      </c>
      <c r="C35" s="386">
        <v>1</v>
      </c>
      <c r="D35" s="146">
        <v>2</v>
      </c>
      <c r="E35" s="146">
        <v>3</v>
      </c>
      <c r="F35" s="146">
        <v>4</v>
      </c>
      <c r="G35" s="147">
        <v>5</v>
      </c>
    </row>
    <row r="36" spans="1:25" ht="35.15" customHeight="1" x14ac:dyDescent="0.3">
      <c r="A36" s="6"/>
      <c r="B36" s="392" t="s">
        <v>211</v>
      </c>
      <c r="C36" s="387"/>
      <c r="D36" s="231"/>
      <c r="E36" s="231"/>
      <c r="F36" s="231"/>
      <c r="G36" s="244"/>
    </row>
    <row r="37" spans="1:25" ht="35.15" customHeight="1" x14ac:dyDescent="0.3">
      <c r="A37" s="6"/>
      <c r="B37" s="392" t="s">
        <v>15</v>
      </c>
      <c r="C37" s="388">
        <f>$C$36-C36</f>
        <v>0</v>
      </c>
      <c r="D37" s="25">
        <f t="shared" ref="D37:G37" si="0">$C$36-D36</f>
        <v>0</v>
      </c>
      <c r="E37" s="25">
        <f t="shared" si="0"/>
        <v>0</v>
      </c>
      <c r="F37" s="25">
        <f>$C$36-F36</f>
        <v>0</v>
      </c>
      <c r="G37" s="148">
        <f t="shared" si="0"/>
        <v>0</v>
      </c>
    </row>
    <row r="38" spans="1:25" ht="35.15" customHeight="1" thickBot="1" x14ac:dyDescent="0.35">
      <c r="A38" s="6"/>
      <c r="B38" s="393" t="s">
        <v>40</v>
      </c>
      <c r="C38" s="389">
        <f>ABS(C37)</f>
        <v>0</v>
      </c>
      <c r="D38" s="149">
        <f>ABS(D37)</f>
        <v>0</v>
      </c>
      <c r="E38" s="149">
        <f t="shared" ref="E38:G38" si="1">ABS(E37)</f>
        <v>0</v>
      </c>
      <c r="F38" s="149">
        <f t="shared" si="1"/>
        <v>0</v>
      </c>
      <c r="G38" s="150">
        <f t="shared" si="1"/>
        <v>0</v>
      </c>
    </row>
    <row r="39" spans="1:25" ht="35.15" customHeight="1" thickBot="1" x14ac:dyDescent="0.35">
      <c r="A39" s="6"/>
      <c r="B39" s="245" t="s">
        <v>41</v>
      </c>
      <c r="C39" s="390">
        <f>MAX(C38:G38)*1000</f>
        <v>0</v>
      </c>
      <c r="D39" s="26"/>
      <c r="E39" s="26"/>
      <c r="F39" s="26"/>
      <c r="G39" s="26"/>
    </row>
    <row r="40" spans="1:25" ht="10" customHeight="1" thickBot="1" x14ac:dyDescent="0.35">
      <c r="A40" s="6"/>
    </row>
    <row r="41" spans="1:25" ht="35.15" customHeight="1" thickBot="1" x14ac:dyDescent="0.35">
      <c r="B41" s="974" t="s">
        <v>16</v>
      </c>
      <c r="C41" s="975"/>
      <c r="D41" s="975"/>
      <c r="E41" s="975"/>
      <c r="F41" s="975"/>
      <c r="G41" s="975"/>
      <c r="H41" s="975"/>
      <c r="I41" s="975"/>
      <c r="J41" s="975"/>
      <c r="K41" s="976"/>
      <c r="M41" s="1060" t="s">
        <v>89</v>
      </c>
      <c r="N41" s="1176"/>
      <c r="O41" s="1061"/>
    </row>
    <row r="42" spans="1:25" s="27" customFormat="1" ht="35.15" customHeight="1" thickBot="1" x14ac:dyDescent="0.35">
      <c r="B42" s="1057" t="s">
        <v>19</v>
      </c>
      <c r="C42" s="1058"/>
      <c r="D42" s="1058"/>
      <c r="E42" s="1058"/>
      <c r="F42" s="1058"/>
      <c r="G42" s="1058"/>
      <c r="H42" s="1058"/>
      <c r="I42" s="1058"/>
      <c r="J42" s="1059"/>
      <c r="K42" s="184" t="s">
        <v>43</v>
      </c>
      <c r="M42" s="1130"/>
      <c r="N42" s="1131"/>
      <c r="O42" s="1132"/>
      <c r="R42" s="516"/>
      <c r="S42" s="516"/>
      <c r="T42" s="516"/>
      <c r="U42" s="516"/>
      <c r="V42" s="516"/>
      <c r="W42" s="516"/>
      <c r="X42" s="516"/>
      <c r="Y42" s="516"/>
    </row>
    <row r="43" spans="1:25" ht="35.15" customHeight="1" thickBot="1" x14ac:dyDescent="0.35">
      <c r="A43" s="286" t="s">
        <v>17</v>
      </c>
      <c r="B43" s="241">
        <v>1</v>
      </c>
      <c r="C43" s="242">
        <v>2</v>
      </c>
      <c r="D43" s="242">
        <v>3</v>
      </c>
      <c r="E43" s="242">
        <v>4</v>
      </c>
      <c r="F43" s="242">
        <v>5</v>
      </c>
      <c r="G43" s="242">
        <v>6</v>
      </c>
      <c r="H43" s="242">
        <v>7</v>
      </c>
      <c r="I43" s="242">
        <v>8</v>
      </c>
      <c r="J43" s="242">
        <v>9</v>
      </c>
      <c r="K43" s="243">
        <v>10</v>
      </c>
      <c r="M43" s="1133"/>
      <c r="N43" s="1134"/>
      <c r="O43" s="1135"/>
    </row>
    <row r="44" spans="1:25" ht="35.15" customHeight="1" x14ac:dyDescent="0.3">
      <c r="A44" s="287">
        <f>D22</f>
        <v>0</v>
      </c>
      <c r="B44" s="278"/>
      <c r="C44" s="280"/>
      <c r="D44" s="280"/>
      <c r="E44" s="280"/>
      <c r="F44" s="280"/>
      <c r="G44" s="280"/>
      <c r="H44" s="280"/>
      <c r="I44" s="280"/>
      <c r="J44" s="280"/>
      <c r="K44" s="281"/>
      <c r="M44" s="1133"/>
      <c r="N44" s="1134"/>
      <c r="O44" s="1135"/>
    </row>
    <row r="45" spans="1:25" ht="35.15" customHeight="1" x14ac:dyDescent="0.3">
      <c r="A45" s="287">
        <f>E22</f>
        <v>0</v>
      </c>
      <c r="B45" s="282"/>
      <c r="C45" s="279"/>
      <c r="D45" s="279"/>
      <c r="E45" s="279"/>
      <c r="F45" s="279"/>
      <c r="G45" s="279"/>
      <c r="H45" s="279"/>
      <c r="I45" s="279"/>
      <c r="J45" s="279"/>
      <c r="K45" s="283"/>
      <c r="M45" s="1133"/>
      <c r="N45" s="1134"/>
      <c r="O45" s="1135"/>
    </row>
    <row r="46" spans="1:25" ht="35.15" customHeight="1" thickBot="1" x14ac:dyDescent="0.35">
      <c r="A46" s="288">
        <f>F22</f>
        <v>0</v>
      </c>
      <c r="B46" s="290"/>
      <c r="C46" s="291"/>
      <c r="D46" s="291"/>
      <c r="E46" s="291"/>
      <c r="F46" s="285"/>
      <c r="G46" s="285"/>
      <c r="H46" s="285"/>
      <c r="I46" s="285"/>
      <c r="J46" s="285"/>
      <c r="K46" s="289"/>
      <c r="M46" s="1133"/>
      <c r="N46" s="1134"/>
      <c r="O46" s="1135"/>
    </row>
    <row r="47" spans="1:25" ht="35.15" customHeight="1" thickBot="1" x14ac:dyDescent="0.35">
      <c r="B47" s="286" t="s">
        <v>17</v>
      </c>
      <c r="C47" s="300" t="s">
        <v>18</v>
      </c>
      <c r="D47" s="170" t="s">
        <v>56</v>
      </c>
      <c r="E47" s="301" t="s">
        <v>55</v>
      </c>
      <c r="F47" s="448" t="s">
        <v>212</v>
      </c>
      <c r="H47" s="1"/>
      <c r="J47" s="1"/>
      <c r="K47" s="28"/>
      <c r="M47" s="1133"/>
      <c r="N47" s="1134"/>
      <c r="O47" s="1135"/>
    </row>
    <row r="48" spans="1:25" ht="35.15" customHeight="1" thickBot="1" x14ac:dyDescent="0.35">
      <c r="B48" s="295">
        <f>A44</f>
        <v>0</v>
      </c>
      <c r="C48" s="297" t="e">
        <f>AVERAGE(B44:K44)</f>
        <v>#DIV/0!</v>
      </c>
      <c r="D48" s="298" t="e">
        <f>_xlfn.STDEV.S(B44:K44)</f>
        <v>#DIV/0!</v>
      </c>
      <c r="E48" s="299" t="e">
        <f>D48*1000</f>
        <v>#DIV/0!</v>
      </c>
      <c r="F48" s="363" t="e">
        <f>MAX(E48:E50)</f>
        <v>#DIV/0!</v>
      </c>
      <c r="H48" s="1"/>
      <c r="I48" s="1"/>
      <c r="J48" s="7"/>
      <c r="K48" s="1"/>
      <c r="M48" s="1133"/>
      <c r="N48" s="1134"/>
      <c r="O48" s="1135"/>
    </row>
    <row r="49" spans="1:15" ht="35.15" customHeight="1" thickBot="1" x14ac:dyDescent="0.35">
      <c r="B49" s="295">
        <f>A45</f>
        <v>0</v>
      </c>
      <c r="C49" s="293" t="e">
        <f t="shared" ref="C49:C50" si="2">AVERAGE(B45:K45)</f>
        <v>#DIV/0!</v>
      </c>
      <c r="D49" s="188" t="e">
        <f t="shared" ref="D49:D50" si="3">_xlfn.STDEV.S(B45:K45)</f>
        <v>#DIV/0!</v>
      </c>
      <c r="E49" s="292" t="e">
        <f>D49*1000</f>
        <v>#DIV/0!</v>
      </c>
      <c r="F49" s="7"/>
      <c r="H49" s="1"/>
      <c r="I49" s="1"/>
      <c r="J49" s="7"/>
      <c r="K49" s="1"/>
      <c r="M49" s="1136"/>
      <c r="N49" s="1137"/>
      <c r="O49" s="1138"/>
    </row>
    <row r="50" spans="1:15" ht="35.15" customHeight="1" thickBot="1" x14ac:dyDescent="0.35">
      <c r="A50" s="6"/>
      <c r="B50" s="296">
        <f>A46</f>
        <v>0</v>
      </c>
      <c r="C50" s="294" t="e">
        <f t="shared" si="2"/>
        <v>#DIV/0!</v>
      </c>
      <c r="D50" s="144" t="e">
        <f t="shared" si="3"/>
        <v>#DIV/0!</v>
      </c>
      <c r="E50" s="145" t="e">
        <f t="shared" ref="E50" si="4">D50*1000</f>
        <v>#DIV/0!</v>
      </c>
      <c r="F50" s="7"/>
      <c r="H50" s="1"/>
      <c r="I50" s="7"/>
      <c r="J50" s="7"/>
      <c r="K50" s="7"/>
    </row>
    <row r="51" spans="1:15" ht="29.25" customHeight="1" thickBot="1" x14ac:dyDescent="0.35">
      <c r="A51" s="6"/>
      <c r="B51" s="1"/>
      <c r="C51" s="1"/>
      <c r="D51" s="1"/>
      <c r="E51" s="1"/>
      <c r="F51" s="1"/>
      <c r="G51" s="1"/>
      <c r="H51" s="1"/>
      <c r="I51" s="7"/>
      <c r="J51" s="7"/>
      <c r="K51" s="7"/>
    </row>
    <row r="52" spans="1:15" ht="35.15" customHeight="1" thickBot="1" x14ac:dyDescent="0.35">
      <c r="A52" s="6"/>
      <c r="B52" s="974" t="s">
        <v>22</v>
      </c>
      <c r="C52" s="975"/>
      <c r="D52" s="975"/>
      <c r="E52" s="975"/>
      <c r="F52" s="975"/>
      <c r="G52" s="975"/>
      <c r="H52" s="975"/>
      <c r="I52" s="975"/>
      <c r="J52" s="975"/>
      <c r="K52" s="975"/>
      <c r="L52" s="976"/>
      <c r="N52" s="1141"/>
      <c r="O52" s="1142"/>
    </row>
    <row r="53" spans="1:15" ht="35.15" customHeight="1" thickBot="1" x14ac:dyDescent="0.35">
      <c r="B53" s="974" t="s">
        <v>85</v>
      </c>
      <c r="C53" s="975"/>
      <c r="D53" s="975"/>
      <c r="E53" s="976"/>
      <c r="F53" s="30"/>
      <c r="G53" s="974" t="s">
        <v>261</v>
      </c>
      <c r="H53" s="975"/>
      <c r="I53" s="975"/>
      <c r="J53" s="975"/>
      <c r="K53" s="975"/>
      <c r="L53" s="976"/>
    </row>
    <row r="54" spans="1:15" ht="46.5" customHeight="1" thickBot="1" x14ac:dyDescent="0.35">
      <c r="A54" s="6"/>
      <c r="B54" s="254" t="s">
        <v>272</v>
      </c>
      <c r="C54" s="173" t="s">
        <v>104</v>
      </c>
      <c r="D54" s="171" t="s">
        <v>30</v>
      </c>
      <c r="E54" s="172" t="s">
        <v>30</v>
      </c>
      <c r="F54" s="30"/>
      <c r="G54" s="303" t="s">
        <v>104</v>
      </c>
      <c r="H54" s="304" t="s">
        <v>213</v>
      </c>
      <c r="I54" s="304"/>
      <c r="J54" s="304"/>
      <c r="K54" s="438" t="s">
        <v>30</v>
      </c>
      <c r="L54" s="437" t="s">
        <v>30</v>
      </c>
      <c r="N54" s="1060" t="s">
        <v>239</v>
      </c>
      <c r="O54" s="1061"/>
    </row>
    <row r="55" spans="1:15" ht="35.15" customHeight="1" thickBot="1" x14ac:dyDescent="0.35">
      <c r="A55" s="6"/>
      <c r="B55" s="233" t="e">
        <f>H21</f>
        <v>#N/A</v>
      </c>
      <c r="C55" s="236"/>
      <c r="D55" s="234" t="e">
        <f>C55-B55</f>
        <v>#N/A</v>
      </c>
      <c r="E55" s="235" t="e">
        <f>D55*1000</f>
        <v>#N/A</v>
      </c>
      <c r="F55" s="30"/>
      <c r="G55" s="236"/>
      <c r="H55" s="237"/>
      <c r="I55" s="177" t="e">
        <f>AVERAGE(G55:H55)</f>
        <v>#DIV/0!</v>
      </c>
      <c r="J55" s="238" t="e">
        <f>I55*1000</f>
        <v>#DIV/0!</v>
      </c>
      <c r="K55" s="430" t="e">
        <f>I55-B55</f>
        <v>#DIV/0!</v>
      </c>
      <c r="L55" s="433" t="e">
        <f>K55*1000</f>
        <v>#DIV/0!</v>
      </c>
      <c r="N55" s="1323" t="e">
        <f>VLOOKUP($N$52,'DATOS &amp; '!$A$157:$B$160,2,FALSE)</f>
        <v>#N/A</v>
      </c>
      <c r="O55" s="1324"/>
    </row>
    <row r="56" spans="1:15" ht="35.15" customHeight="1" x14ac:dyDescent="0.3">
      <c r="A56" s="6"/>
      <c r="B56" s="174" t="e">
        <f>H22</f>
        <v>#N/A</v>
      </c>
      <c r="C56" s="282"/>
      <c r="D56" s="31" t="e">
        <f t="shared" ref="D56:D59" si="5">C56-B56</f>
        <v>#N/A</v>
      </c>
      <c r="E56" s="142" t="e">
        <f t="shared" ref="E56:E59" si="6">D56*1000</f>
        <v>#N/A</v>
      </c>
      <c r="F56" s="30"/>
      <c r="G56" s="282"/>
      <c r="H56" s="279"/>
      <c r="I56" s="215" t="e">
        <f>AVERAGE(G56:H56)</f>
        <v>#DIV/0!</v>
      </c>
      <c r="J56" s="232" t="e">
        <f>I56*1000</f>
        <v>#DIV/0!</v>
      </c>
      <c r="K56" s="431" t="e">
        <f>I56-B56</f>
        <v>#DIV/0!</v>
      </c>
      <c r="L56" s="434" t="e">
        <f t="shared" ref="L56:L59" si="7">K56*1000</f>
        <v>#DIV/0!</v>
      </c>
    </row>
    <row r="57" spans="1:15" ht="35.15" customHeight="1" x14ac:dyDescent="0.3">
      <c r="A57" s="6"/>
      <c r="B57" s="174" t="e">
        <f>H23</f>
        <v>#N/A</v>
      </c>
      <c r="C57" s="302"/>
      <c r="D57" s="31" t="e">
        <f t="shared" si="5"/>
        <v>#N/A</v>
      </c>
      <c r="E57" s="142" t="e">
        <f t="shared" si="6"/>
        <v>#N/A</v>
      </c>
      <c r="F57" s="30"/>
      <c r="G57" s="282"/>
      <c r="H57" s="279"/>
      <c r="I57" s="215" t="e">
        <f>AVERAGE(G57:H57)</f>
        <v>#DIV/0!</v>
      </c>
      <c r="J57" s="232" t="e">
        <f t="shared" ref="J57:J59" si="8">I57*1000</f>
        <v>#DIV/0!</v>
      </c>
      <c r="K57" s="431" t="e">
        <f>I57-B57</f>
        <v>#DIV/0!</v>
      </c>
      <c r="L57" s="435" t="e">
        <f t="shared" si="7"/>
        <v>#DIV/0!</v>
      </c>
    </row>
    <row r="58" spans="1:15" ht="35.15" customHeight="1" x14ac:dyDescent="0.3">
      <c r="A58" s="6"/>
      <c r="B58" s="174" t="e">
        <f>H24</f>
        <v>#N/A</v>
      </c>
      <c r="C58" s="282"/>
      <c r="D58" s="31" t="e">
        <f t="shared" si="5"/>
        <v>#N/A</v>
      </c>
      <c r="E58" s="142" t="e">
        <f t="shared" si="6"/>
        <v>#N/A</v>
      </c>
      <c r="F58" s="30"/>
      <c r="G58" s="282"/>
      <c r="H58" s="279"/>
      <c r="I58" s="215" t="e">
        <f>AVERAGE(G58:H58)</f>
        <v>#DIV/0!</v>
      </c>
      <c r="J58" s="232" t="e">
        <f t="shared" si="8"/>
        <v>#DIV/0!</v>
      </c>
      <c r="K58" s="431" t="e">
        <f>I58-B58</f>
        <v>#DIV/0!</v>
      </c>
      <c r="L58" s="435" t="e">
        <f t="shared" si="7"/>
        <v>#DIV/0!</v>
      </c>
    </row>
    <row r="59" spans="1:15" ht="35.15" customHeight="1" thickBot="1" x14ac:dyDescent="0.35">
      <c r="A59" s="6"/>
      <c r="B59" s="175" t="e">
        <f>H25</f>
        <v>#N/A</v>
      </c>
      <c r="C59" s="284"/>
      <c r="D59" s="141" t="e">
        <f t="shared" si="5"/>
        <v>#N/A</v>
      </c>
      <c r="E59" s="143" t="e">
        <f t="shared" si="6"/>
        <v>#N/A</v>
      </c>
      <c r="F59" s="30"/>
      <c r="G59" s="284"/>
      <c r="H59" s="285"/>
      <c r="I59" s="239" t="e">
        <f t="shared" ref="I59" si="9">AVERAGE(G59:H59)</f>
        <v>#DIV/0!</v>
      </c>
      <c r="J59" s="240" t="e">
        <f t="shared" si="8"/>
        <v>#DIV/0!</v>
      </c>
      <c r="K59" s="432" t="e">
        <f>I59-B59</f>
        <v>#DIV/0!</v>
      </c>
      <c r="L59" s="436" t="e">
        <f t="shared" si="7"/>
        <v>#DIV/0!</v>
      </c>
    </row>
    <row r="60" spans="1:15" ht="10" customHeight="1" thickBot="1" x14ac:dyDescent="0.35">
      <c r="A60" s="6"/>
      <c r="L60" s="6"/>
    </row>
    <row r="61" spans="1:15" ht="35.15" customHeight="1" thickBot="1" x14ac:dyDescent="0.35">
      <c r="A61" s="32"/>
      <c r="B61" s="1024" t="s">
        <v>54</v>
      </c>
      <c r="C61" s="1025"/>
      <c r="D61" s="1025"/>
      <c r="E61" s="1025"/>
      <c r="F61" s="1025"/>
      <c r="G61" s="1025"/>
      <c r="H61" s="1025"/>
      <c r="I61" s="1103"/>
      <c r="K61" s="1"/>
    </row>
    <row r="62" spans="1:15" ht="35.15" customHeight="1" thickBot="1" x14ac:dyDescent="0.35">
      <c r="A62" s="32"/>
      <c r="B62" s="198" t="s">
        <v>511</v>
      </c>
      <c r="C62" s="101"/>
      <c r="D62" s="52" t="s">
        <v>5</v>
      </c>
      <c r="E62" s="102"/>
      <c r="F62" s="52" t="s">
        <v>403</v>
      </c>
      <c r="G62" s="103"/>
      <c r="H62" s="53" t="s">
        <v>4</v>
      </c>
      <c r="I62" s="104"/>
      <c r="K62" s="1"/>
    </row>
    <row r="63" spans="1:15" ht="35.15" customHeight="1" thickBot="1" x14ac:dyDescent="0.35">
      <c r="A63" s="51"/>
      <c r="B63" s="51"/>
      <c r="C63" s="51"/>
      <c r="D63" s="51"/>
      <c r="E63" s="51"/>
      <c r="F63" s="51"/>
      <c r="G63" s="51"/>
      <c r="H63" s="51"/>
      <c r="I63" s="51"/>
      <c r="J63" s="51"/>
      <c r="K63" s="1"/>
    </row>
    <row r="64" spans="1:15" ht="54" customHeight="1" thickBot="1" x14ac:dyDescent="0.35">
      <c r="A64" s="51"/>
      <c r="B64" s="1010" t="s">
        <v>383</v>
      </c>
      <c r="C64" s="1011"/>
      <c r="D64" s="52" t="s">
        <v>5</v>
      </c>
      <c r="E64" s="55" t="e">
        <f>E32+(VLOOKUP(K28,'DATOS &amp; '!G154:T167,9,FALSE))*E32+(VLOOKUP(K28,'DATOS &amp; '!G154:T167,10,FALSE))</f>
        <v>#N/A</v>
      </c>
      <c r="F64" s="52" t="s">
        <v>403</v>
      </c>
      <c r="G64" s="55" t="e">
        <f>G32+(VLOOKUP(K28,'DATOS &amp; '!G154:T167,11,FALSE))*G32+(VLOOKUP(K28,'DATOS &amp; '!G154:T167,12,FALSE))</f>
        <v>#N/A</v>
      </c>
      <c r="H64" s="53" t="s">
        <v>4</v>
      </c>
      <c r="I64" s="55" t="e">
        <f>I32+(VLOOKUP(K28,'DATOS &amp; '!G154:T167,13,FALSE))*I32+(VLOOKUP(K28,'DATOS &amp; '!G154:T167,14,FALSE))</f>
        <v>#N/A</v>
      </c>
      <c r="K64" s="1"/>
    </row>
    <row r="65" spans="1:25" ht="48.75" customHeight="1" thickBot="1" x14ac:dyDescent="0.35">
      <c r="A65" s="51"/>
      <c r="B65" s="1010" t="s">
        <v>382</v>
      </c>
      <c r="C65" s="1011"/>
      <c r="D65" s="52" t="s">
        <v>5</v>
      </c>
      <c r="E65" s="55" t="e">
        <f>E62+(VLOOKUP(K28,'DATOS &amp; '!G154:T167,9,FALSE))*E62+(VLOOKUP(K28,'DATOS &amp; '!G154:T167,10,FALSE))</f>
        <v>#N/A</v>
      </c>
      <c r="F65" s="52" t="s">
        <v>403</v>
      </c>
      <c r="G65" s="199" t="e">
        <f>G62+(VLOOKUP(K28,'DATOS &amp; '!G154:T167,11,FALSE))*G62+(VLOOKUP(K28,'DATOS &amp; '!G154:T167,12,FALSE))</f>
        <v>#N/A</v>
      </c>
      <c r="H65" s="53" t="s">
        <v>4</v>
      </c>
      <c r="I65" s="55" t="e">
        <f>I62+(VLOOKUP(K28,'DATOS &amp; '!G154:T167,13,FALSE))*I62+(VLOOKUP(K28,'DATOS &amp; '!G154:T167,14,FALSE))</f>
        <v>#N/A</v>
      </c>
      <c r="K65" s="1"/>
    </row>
    <row r="66" spans="1:25" ht="21.75" customHeight="1" thickBot="1" x14ac:dyDescent="0.35">
      <c r="B66" s="1"/>
      <c r="C66" s="1"/>
      <c r="D66" s="1"/>
      <c r="E66" s="1"/>
      <c r="F66" s="1"/>
      <c r="G66" s="1"/>
      <c r="H66" s="1"/>
      <c r="I66" s="1"/>
      <c r="J66" s="1"/>
      <c r="K66" s="1"/>
    </row>
    <row r="67" spans="1:25" ht="35.15" customHeight="1" thickBot="1" x14ac:dyDescent="0.35">
      <c r="A67" s="974" t="s">
        <v>29</v>
      </c>
      <c r="B67" s="975"/>
      <c r="C67" s="975"/>
      <c r="D67" s="975"/>
      <c r="E67" s="975"/>
      <c r="F67" s="975"/>
      <c r="G67" s="975"/>
      <c r="H67" s="975"/>
      <c r="I67" s="975"/>
      <c r="J67" s="975"/>
      <c r="K67" s="975"/>
      <c r="L67" s="976"/>
    </row>
    <row r="68" spans="1:25" s="27" customFormat="1" ht="10" customHeight="1" thickBot="1" x14ac:dyDescent="0.35">
      <c r="R68" s="516"/>
      <c r="S68" s="516"/>
      <c r="T68" s="516"/>
      <c r="U68" s="516"/>
      <c r="V68" s="516"/>
      <c r="W68" s="516"/>
      <c r="X68" s="516"/>
      <c r="Y68" s="516"/>
    </row>
    <row r="69" spans="1:25" ht="35.15" customHeight="1" thickBot="1" x14ac:dyDescent="0.35">
      <c r="B69" s="1"/>
      <c r="C69" s="1"/>
      <c r="D69" s="1"/>
      <c r="E69" s="1"/>
      <c r="F69" s="987" t="s">
        <v>25</v>
      </c>
      <c r="G69" s="988"/>
      <c r="H69" s="988"/>
      <c r="I69" s="988"/>
      <c r="J69" s="989"/>
      <c r="K69" s="1"/>
    </row>
    <row r="70" spans="1:25" s="7" customFormat="1" ht="35.15" customHeight="1" thickBot="1" x14ac:dyDescent="0.35">
      <c r="D70" s="33"/>
      <c r="F70" s="189" t="e">
        <f>G21</f>
        <v>#N/A</v>
      </c>
      <c r="G70" s="190" t="e">
        <f>G22</f>
        <v>#N/A</v>
      </c>
      <c r="H70" s="190" t="e">
        <f>G23</f>
        <v>#N/A</v>
      </c>
      <c r="I70" s="190" t="e">
        <f>G24</f>
        <v>#N/A</v>
      </c>
      <c r="J70" s="191" t="e">
        <f>G25</f>
        <v>#N/A</v>
      </c>
      <c r="K70" s="1"/>
      <c r="L70" s="1"/>
      <c r="M70" s="1"/>
      <c r="N70" s="1"/>
      <c r="O70" s="1"/>
      <c r="R70" s="516"/>
      <c r="S70" s="516"/>
      <c r="T70" s="516"/>
      <c r="U70" s="516"/>
      <c r="V70" s="516"/>
      <c r="W70" s="516"/>
      <c r="X70" s="516"/>
      <c r="Y70" s="516"/>
    </row>
    <row r="71" spans="1:25" s="27" customFormat="1" ht="10" customHeight="1" thickBot="1" x14ac:dyDescent="0.35">
      <c r="L71" s="1"/>
      <c r="M71" s="1"/>
      <c r="N71" s="1"/>
      <c r="O71" s="1"/>
      <c r="R71" s="516"/>
      <c r="S71" s="516"/>
      <c r="T71" s="516"/>
      <c r="U71" s="516"/>
      <c r="V71" s="516"/>
      <c r="W71" s="516"/>
      <c r="X71" s="516"/>
      <c r="Y71" s="516"/>
    </row>
    <row r="72" spans="1:25" ht="70.5" customHeight="1" thickBot="1" x14ac:dyDescent="0.35">
      <c r="A72" s="1060" t="s">
        <v>28</v>
      </c>
      <c r="B72" s="1176"/>
      <c r="C72" s="1176"/>
      <c r="D72" s="1176"/>
      <c r="E72" s="1061"/>
      <c r="F72" s="1024" t="s">
        <v>42</v>
      </c>
      <c r="G72" s="1025"/>
      <c r="H72" s="1025"/>
      <c r="I72" s="1025"/>
      <c r="J72" s="1025"/>
      <c r="K72" s="757" t="s">
        <v>24</v>
      </c>
      <c r="L72" s="758" t="s">
        <v>338</v>
      </c>
      <c r="M72" s="759" t="s">
        <v>391</v>
      </c>
    </row>
    <row r="73" spans="1:25" ht="35.15" customHeight="1" thickBot="1" x14ac:dyDescent="0.35">
      <c r="A73" s="1174" t="s">
        <v>20</v>
      </c>
      <c r="B73" s="1175"/>
      <c r="C73" s="325"/>
      <c r="D73" s="326"/>
      <c r="E73" s="326"/>
      <c r="F73" s="566" t="e">
        <f>((F70*1000)*$C$39)/(2*$G$34*SQRT(3))</f>
        <v>#N/A</v>
      </c>
      <c r="G73" s="761" t="e">
        <f>((G70*1000)*$C$39)/(2*$G$34*SQRT(3))</f>
        <v>#N/A</v>
      </c>
      <c r="H73" s="761" t="e">
        <f>((H70*1000)*$C$39)/(2*$G$34*SQRT(3))</f>
        <v>#N/A</v>
      </c>
      <c r="I73" s="761" t="e">
        <f>((I70*1000)*$C$39)/(2*$G$34*SQRT(3))</f>
        <v>#N/A</v>
      </c>
      <c r="J73" s="761" t="e">
        <f>((J70*1000)*$C$39)/(2*$G$34*SQRT(3))</f>
        <v>#N/A</v>
      </c>
      <c r="K73" s="762" t="s">
        <v>44</v>
      </c>
      <c r="L73" s="410">
        <v>100</v>
      </c>
      <c r="M73" s="456" t="e">
        <f>(J73/$J$84)^2</f>
        <v>#N/A</v>
      </c>
    </row>
    <row r="74" spans="1:25" ht="35.15" customHeight="1" thickBot="1" x14ac:dyDescent="0.35">
      <c r="A74" s="1010" t="s">
        <v>21</v>
      </c>
      <c r="B74" s="1011"/>
      <c r="C74" s="328"/>
      <c r="D74" s="327"/>
      <c r="E74" s="327"/>
      <c r="F74" s="140" t="e">
        <f>$F$48</f>
        <v>#DIV/0!</v>
      </c>
      <c r="G74" s="34" t="e">
        <f>$F$48</f>
        <v>#DIV/0!</v>
      </c>
      <c r="H74" s="34" t="e">
        <f>$F$48</f>
        <v>#DIV/0!</v>
      </c>
      <c r="I74" s="34" t="e">
        <f>$F$48</f>
        <v>#DIV/0!</v>
      </c>
      <c r="J74" s="34" t="e">
        <f>$F$48</f>
        <v>#DIV/0!</v>
      </c>
      <c r="K74" s="760" t="s">
        <v>45</v>
      </c>
      <c r="L74" s="409">
        <f>K43-1</f>
        <v>9</v>
      </c>
      <c r="M74" s="457" t="e">
        <f>(J74/$J$84)^2</f>
        <v>#DIV/0!</v>
      </c>
    </row>
    <row r="75" spans="1:25" ht="35.15" customHeight="1" thickBot="1" x14ac:dyDescent="0.35">
      <c r="A75" s="1005" t="s">
        <v>337</v>
      </c>
      <c r="B75" s="1006"/>
      <c r="C75" s="396"/>
      <c r="D75" s="397"/>
      <c r="E75" s="397"/>
      <c r="F75" s="140" t="e">
        <f t="shared" ref="F75:J76" si="10">($D$14*1000)/SQRT(12)</f>
        <v>#N/A</v>
      </c>
      <c r="G75" s="34" t="e">
        <f t="shared" si="10"/>
        <v>#N/A</v>
      </c>
      <c r="H75" s="34" t="e">
        <f t="shared" si="10"/>
        <v>#N/A</v>
      </c>
      <c r="I75" s="34" t="e">
        <f t="shared" si="10"/>
        <v>#N/A</v>
      </c>
      <c r="J75" s="34" t="e">
        <f t="shared" si="10"/>
        <v>#N/A</v>
      </c>
      <c r="K75" s="760" t="s">
        <v>44</v>
      </c>
      <c r="L75" s="409">
        <v>100</v>
      </c>
      <c r="M75" s="457" t="e">
        <f>(J75/$J$84)^2</f>
        <v>#N/A</v>
      </c>
      <c r="N75" s="329"/>
    </row>
    <row r="76" spans="1:25" ht="35.15" customHeight="1" thickBot="1" x14ac:dyDescent="0.35">
      <c r="A76" s="1003" t="s">
        <v>339</v>
      </c>
      <c r="B76" s="1004"/>
      <c r="C76" s="396"/>
      <c r="D76" s="397"/>
      <c r="E76" s="397"/>
      <c r="F76" s="411" t="e">
        <f t="shared" si="10"/>
        <v>#N/A</v>
      </c>
      <c r="G76" s="412" t="e">
        <f t="shared" si="10"/>
        <v>#N/A</v>
      </c>
      <c r="H76" s="412" t="e">
        <f t="shared" si="10"/>
        <v>#N/A</v>
      </c>
      <c r="I76" s="412" t="e">
        <f t="shared" si="10"/>
        <v>#N/A</v>
      </c>
      <c r="J76" s="412" t="e">
        <f t="shared" si="10"/>
        <v>#N/A</v>
      </c>
      <c r="K76" s="763" t="s">
        <v>44</v>
      </c>
      <c r="L76" s="413">
        <v>100</v>
      </c>
      <c r="M76" s="458" t="e">
        <f t="shared" ref="M76" si="11">(J76/$J$84)^2</f>
        <v>#N/A</v>
      </c>
    </row>
    <row r="77" spans="1:25" ht="35.15" customHeight="1" thickBot="1" x14ac:dyDescent="0.35">
      <c r="A77" s="30"/>
      <c r="B77" s="30"/>
      <c r="C77" s="398"/>
      <c r="D77" s="399"/>
      <c r="E77" s="400"/>
      <c r="F77" s="764" t="e">
        <f>SQRT((F73)^2+(F74)^2+(F75)^2+(F76)^2)</f>
        <v>#N/A</v>
      </c>
      <c r="G77" s="765" t="e">
        <f t="shared" ref="G77:J77" si="12">SQRT((G73)^2+(G74)^2+(G75)^2+(G76)^2)</f>
        <v>#N/A</v>
      </c>
      <c r="H77" s="765" t="e">
        <f t="shared" si="12"/>
        <v>#N/A</v>
      </c>
      <c r="I77" s="765" t="e">
        <f t="shared" si="12"/>
        <v>#N/A</v>
      </c>
      <c r="J77" s="766" t="e">
        <f t="shared" si="12"/>
        <v>#N/A</v>
      </c>
      <c r="K77" s="767" t="s">
        <v>45</v>
      </c>
      <c r="M77" s="408"/>
    </row>
    <row r="78" spans="1:25" ht="34.5" customHeight="1" thickBot="1" x14ac:dyDescent="0.35">
      <c r="A78" s="30"/>
      <c r="B78" s="30"/>
      <c r="C78" s="30"/>
      <c r="D78" s="30"/>
      <c r="F78" s="1127" t="s">
        <v>250</v>
      </c>
      <c r="G78" s="1128"/>
      <c r="H78" s="1128"/>
      <c r="I78" s="1128"/>
      <c r="J78" s="1129"/>
      <c r="K78" s="1"/>
      <c r="M78" s="408"/>
    </row>
    <row r="79" spans="1:25" ht="35.15" customHeight="1" thickBot="1" x14ac:dyDescent="0.35">
      <c r="A79" s="1010" t="s">
        <v>23</v>
      </c>
      <c r="B79" s="1011"/>
      <c r="C79" s="1092"/>
      <c r="D79" s="1093"/>
      <c r="E79" s="1094"/>
      <c r="F79" s="137" t="e">
        <f>I21/L32</f>
        <v>#N/A</v>
      </c>
      <c r="G79" s="138" t="e">
        <f>I22/L32</f>
        <v>#N/A</v>
      </c>
      <c r="H79" s="138" t="e">
        <f>I23/L32</f>
        <v>#N/A</v>
      </c>
      <c r="I79" s="138" t="e">
        <f>I24/L32</f>
        <v>#N/A</v>
      </c>
      <c r="J79" s="138" t="e">
        <f>I25/L32</f>
        <v>#N/A</v>
      </c>
      <c r="K79" s="313" t="s">
        <v>45</v>
      </c>
      <c r="L79" s="410">
        <v>100</v>
      </c>
      <c r="M79" s="456" t="e">
        <f>+(J79/$J$84)^2</f>
        <v>#N/A</v>
      </c>
    </row>
    <row r="80" spans="1:25" ht="35.15" customHeight="1" x14ac:dyDescent="0.3">
      <c r="A80" s="1090" t="s">
        <v>354</v>
      </c>
      <c r="B80" s="1091"/>
      <c r="C80" s="1124"/>
      <c r="D80" s="1125"/>
      <c r="E80" s="1126"/>
      <c r="F80" s="139" t="e">
        <f>(3*I21)/(4*SQRT(3))</f>
        <v>#N/A</v>
      </c>
      <c r="G80" s="35" t="e">
        <f>(3*I22)/(4*SQRT(3))</f>
        <v>#N/A</v>
      </c>
      <c r="H80" s="35" t="e">
        <f>(3*I23)/(4*SQRT(3))</f>
        <v>#N/A</v>
      </c>
      <c r="I80" s="35" t="e">
        <f>(3*I24)/(4*SQRT(3))</f>
        <v>#N/A</v>
      </c>
      <c r="J80" s="35" t="e">
        <f>(3*I25)/(4*SQRT(3))</f>
        <v>#N/A</v>
      </c>
      <c r="K80" s="29" t="s">
        <v>44</v>
      </c>
      <c r="L80" s="409">
        <v>100</v>
      </c>
      <c r="M80" s="457" t="e">
        <f t="shared" ref="M80:M81" si="13">+(J80/$J$84)^2</f>
        <v>#N/A</v>
      </c>
    </row>
    <row r="81" spans="1:25" ht="35.15" customHeight="1" thickBot="1" x14ac:dyDescent="0.35">
      <c r="A81" s="1087" t="s">
        <v>355</v>
      </c>
      <c r="B81" s="1088"/>
      <c r="C81" s="1081"/>
      <c r="D81" s="1082"/>
      <c r="E81" s="1083"/>
      <c r="F81" s="459" t="e">
        <f>VLOOKUP($K$21,'DATOS &amp; '!$C$27:$V$92,15,FALSE)</f>
        <v>#N/A</v>
      </c>
      <c r="G81" s="460" t="e">
        <f>VLOOKUP($K$22,'DATOS &amp; '!$C$27:$V$92,15,FALSE)</f>
        <v>#N/A</v>
      </c>
      <c r="H81" s="460" t="e">
        <f>VLOOKUP($K$23,'DATOS &amp; '!$C$27:$V$92,15,FALSE)</f>
        <v>#N/A</v>
      </c>
      <c r="I81" s="460" t="e">
        <f>VLOOKUP($K$24,'DATOS &amp; '!$C$27:$V$92,15,FALSE)</f>
        <v>#N/A</v>
      </c>
      <c r="J81" s="460" t="e">
        <f>VLOOKUP($K$25,'DATOS &amp; '!$C$27:$V$92,15,FALSE)</f>
        <v>#N/A</v>
      </c>
      <c r="K81" s="461" t="s">
        <v>44</v>
      </c>
      <c r="L81" s="413">
        <v>100</v>
      </c>
      <c r="M81" s="458" t="e">
        <f t="shared" si="13"/>
        <v>#N/A</v>
      </c>
    </row>
    <row r="82" spans="1:25" ht="35.15" customHeight="1" thickBot="1" x14ac:dyDescent="0.35">
      <c r="C82" s="1084"/>
      <c r="D82" s="1085"/>
      <c r="E82" s="1086"/>
      <c r="F82" s="424" t="e">
        <f>SQRT(F79^2+F80^2+F81^2)</f>
        <v>#N/A</v>
      </c>
      <c r="G82" s="425" t="e">
        <f t="shared" ref="G82:J82" si="14">SQRT(G79^2+G80^2+G81^2)</f>
        <v>#N/A</v>
      </c>
      <c r="H82" s="425" t="e">
        <f t="shared" si="14"/>
        <v>#N/A</v>
      </c>
      <c r="I82" s="425" t="e">
        <f t="shared" si="14"/>
        <v>#N/A</v>
      </c>
      <c r="J82" s="426" t="e">
        <f t="shared" si="14"/>
        <v>#N/A</v>
      </c>
      <c r="K82" s="423" t="s">
        <v>45</v>
      </c>
      <c r="L82" s="54"/>
      <c r="M82" s="462" t="e">
        <f>+SUM(M73:M76,M79:M81)</f>
        <v>#N/A</v>
      </c>
      <c r="N82" s="194"/>
    </row>
    <row r="83" spans="1:25" ht="35.15" customHeight="1" thickBot="1" x14ac:dyDescent="0.35">
      <c r="C83" s="1"/>
      <c r="D83" s="1"/>
      <c r="F83" s="1051" t="s">
        <v>251</v>
      </c>
      <c r="G83" s="1052"/>
      <c r="H83" s="1052"/>
      <c r="I83" s="1052"/>
      <c r="J83" s="1053"/>
      <c r="K83" s="1"/>
      <c r="L83" s="6"/>
      <c r="O83" s="195">
        <v>0.3</v>
      </c>
      <c r="P83" s="195">
        <v>1.65</v>
      </c>
      <c r="Q83" s="196"/>
    </row>
    <row r="84" spans="1:25" ht="35.15" customHeight="1" thickBot="1" x14ac:dyDescent="0.35">
      <c r="B84" s="1"/>
      <c r="C84" s="132"/>
      <c r="D84" s="133"/>
      <c r="E84" s="134"/>
      <c r="F84" s="427" t="e">
        <f>SQRT((F77)^2+(F82)^2)</f>
        <v>#N/A</v>
      </c>
      <c r="G84" s="428" t="e">
        <f t="shared" ref="G84:J84" si="15">SQRT((G77)^2+(G82)^2)</f>
        <v>#N/A</v>
      </c>
      <c r="H84" s="428" t="e">
        <f>SQRT((H77)^2+(H82)^2)</f>
        <v>#N/A</v>
      </c>
      <c r="I84" s="428" t="e">
        <f t="shared" si="15"/>
        <v>#N/A</v>
      </c>
      <c r="J84" s="429" t="e">
        <f t="shared" si="15"/>
        <v>#N/A</v>
      </c>
      <c r="L84" s="6"/>
      <c r="O84" s="1062" t="s">
        <v>279</v>
      </c>
      <c r="P84" s="1063"/>
      <c r="Q84" s="1064"/>
    </row>
    <row r="85" spans="1:25" s="7" customFormat="1" ht="37.5" customHeight="1" thickBot="1" x14ac:dyDescent="0.35">
      <c r="A85" s="36"/>
      <c r="B85" s="36"/>
      <c r="D85" s="32"/>
      <c r="F85" s="200"/>
      <c r="G85" s="200"/>
      <c r="H85" s="200"/>
      <c r="I85" s="200"/>
      <c r="J85" s="200"/>
      <c r="L85" s="317" t="s">
        <v>274</v>
      </c>
      <c r="M85" s="255" t="e">
        <f>MAX(J73:J76,J79:J81)</f>
        <v>#N/A</v>
      </c>
      <c r="N85" s="261" t="e">
        <f>IF((M86)&lt;=(O83),"165","k=2")</f>
        <v>#N/A</v>
      </c>
      <c r="O85" s="257" t="s">
        <v>275</v>
      </c>
      <c r="P85" s="258" t="s">
        <v>276</v>
      </c>
      <c r="Q85" s="517" t="s">
        <v>392</v>
      </c>
      <c r="R85" s="516"/>
      <c r="S85" s="516"/>
      <c r="T85" s="516"/>
      <c r="U85" s="516"/>
      <c r="V85" s="516"/>
      <c r="W85" s="516"/>
      <c r="X85" s="516"/>
      <c r="Y85" s="516"/>
    </row>
    <row r="86" spans="1:25" s="27" customFormat="1" ht="35.15" customHeight="1" thickBot="1" x14ac:dyDescent="0.35">
      <c r="F86" s="987" t="s">
        <v>26</v>
      </c>
      <c r="G86" s="988"/>
      <c r="H86" s="988"/>
      <c r="I86" s="988"/>
      <c r="J86" s="989"/>
      <c r="L86" s="261" t="s">
        <v>277</v>
      </c>
      <c r="M86" s="256" t="e">
        <f>SQRT((J73)^2+(J74)^2+J79^2+J80^2+J81^2)/J76</f>
        <v>#N/A</v>
      </c>
      <c r="N86" s="193"/>
      <c r="O86" s="259" t="s">
        <v>275</v>
      </c>
      <c r="P86" s="260" t="s">
        <v>278</v>
      </c>
      <c r="Q86" s="518" t="s">
        <v>393</v>
      </c>
      <c r="R86" s="516"/>
      <c r="S86" s="516"/>
      <c r="T86" s="516"/>
      <c r="U86" s="516"/>
      <c r="V86" s="516"/>
      <c r="W86" s="516"/>
      <c r="X86" s="516"/>
      <c r="Y86" s="516"/>
    </row>
    <row r="87" spans="1:25" ht="14.5" thickBot="1" x14ac:dyDescent="0.35">
      <c r="B87" s="1"/>
      <c r="C87" s="23"/>
      <c r="D87" s="23"/>
      <c r="F87" s="1057" t="s">
        <v>50</v>
      </c>
      <c r="G87" s="1058"/>
      <c r="H87" s="1058"/>
      <c r="I87" s="1058"/>
      <c r="J87" s="1059"/>
      <c r="Q87" s="27"/>
      <c r="R87" s="516"/>
      <c r="S87" s="516"/>
      <c r="T87" s="516"/>
    </row>
    <row r="88" spans="1:25" ht="35.15" customHeight="1" x14ac:dyDescent="0.3">
      <c r="A88" s="1073" t="s">
        <v>79</v>
      </c>
      <c r="B88" s="1074"/>
      <c r="C88" s="1074"/>
      <c r="D88" s="1079"/>
      <c r="E88" s="1080"/>
      <c r="F88" s="633">
        <v>100</v>
      </c>
      <c r="G88" s="154">
        <v>100</v>
      </c>
      <c r="H88" s="154">
        <v>100</v>
      </c>
      <c r="I88" s="154">
        <v>100</v>
      </c>
      <c r="J88" s="127">
        <v>100</v>
      </c>
      <c r="Q88" s="27"/>
      <c r="R88" s="516"/>
      <c r="S88" s="516"/>
      <c r="T88" s="516"/>
    </row>
    <row r="89" spans="1:25" ht="35.15" customHeight="1" x14ac:dyDescent="0.3">
      <c r="A89" s="1071" t="s">
        <v>80</v>
      </c>
      <c r="B89" s="1072"/>
      <c r="C89" s="1072"/>
      <c r="D89" s="1077"/>
      <c r="E89" s="1078"/>
      <c r="F89" s="634">
        <f>$K$43-1</f>
        <v>9</v>
      </c>
      <c r="G89" s="581">
        <f t="shared" ref="G89:J89" si="16">$K$43-1</f>
        <v>9</v>
      </c>
      <c r="H89" s="581">
        <f t="shared" si="16"/>
        <v>9</v>
      </c>
      <c r="I89" s="581">
        <f t="shared" si="16"/>
        <v>9</v>
      </c>
      <c r="J89" s="582">
        <f t="shared" si="16"/>
        <v>9</v>
      </c>
      <c r="R89" s="516"/>
      <c r="S89" s="516"/>
      <c r="T89" s="516"/>
    </row>
    <row r="90" spans="1:25" ht="35.15" customHeight="1" thickBot="1" x14ac:dyDescent="0.35">
      <c r="A90" s="1087" t="s">
        <v>81</v>
      </c>
      <c r="B90" s="1089"/>
      <c r="C90" s="1089"/>
      <c r="D90" s="1077"/>
      <c r="E90" s="1078"/>
      <c r="F90" s="634">
        <v>100</v>
      </c>
      <c r="G90" s="581">
        <v>100</v>
      </c>
      <c r="H90" s="581">
        <v>100</v>
      </c>
      <c r="I90" s="581">
        <v>100</v>
      </c>
      <c r="J90" s="582">
        <v>100</v>
      </c>
      <c r="R90" s="516"/>
      <c r="S90" s="516"/>
      <c r="T90" s="516"/>
    </row>
    <row r="91" spans="1:25" ht="50.15" customHeight="1" thickBot="1" x14ac:dyDescent="0.35">
      <c r="B91" s="135"/>
      <c r="C91" s="136"/>
      <c r="D91" s="636"/>
      <c r="E91" s="637"/>
      <c r="F91" s="635" t="e">
        <f>F77^4/(F73^4/$L$73+(F74^4/($L$74))+(F75^4/$L$75)+(F76^4/$L$76))</f>
        <v>#N/A</v>
      </c>
      <c r="G91" s="631" t="e">
        <f>G77^4/(G73^4/$L$73+(G74^4/($L$74))+(G75^4/$L$75)+(G76^4/$L$76))</f>
        <v>#N/A</v>
      </c>
      <c r="H91" s="631" t="e">
        <f>H77^4/(H73^4/$L$73+(H74^4/($L$74))+(H75^4/$L$75)+(H76^4/$L$76))</f>
        <v>#N/A</v>
      </c>
      <c r="I91" s="631" t="e">
        <f>I77^4/(I73^4/$L$73+(I74^4/($L$74))+(I75^4/$L$75)+(I76^4/$L$76))</f>
        <v>#N/A</v>
      </c>
      <c r="J91" s="632" t="e">
        <f>J77^4/(J73^4/$L$73+(J74^4/($L$74))+(J75^4/$L$75)+(J76^4/$L$76))</f>
        <v>#N/A</v>
      </c>
      <c r="K91" s="1007" t="s">
        <v>78</v>
      </c>
      <c r="L91" s="996" t="s">
        <v>400</v>
      </c>
      <c r="M91" s="996" t="s">
        <v>401</v>
      </c>
      <c r="N91" s="996" t="s">
        <v>387</v>
      </c>
      <c r="O91" s="996" t="s">
        <v>233</v>
      </c>
      <c r="P91" s="1139" t="s">
        <v>386</v>
      </c>
      <c r="Q91" s="641">
        <f>' CMC &amp;'!C21/' CMC &amp;'!B21</f>
        <v>5.0000000000000004E-6</v>
      </c>
    </row>
    <row r="92" spans="1:25" ht="35.15" customHeight="1" thickBot="1" x14ac:dyDescent="0.35">
      <c r="B92" s="1"/>
      <c r="C92" s="23"/>
      <c r="D92" s="23"/>
      <c r="E92" s="23"/>
      <c r="F92" s="992" t="s">
        <v>49</v>
      </c>
      <c r="G92" s="993"/>
      <c r="H92" s="993"/>
      <c r="I92" s="993"/>
      <c r="J92" s="994"/>
      <c r="K92" s="1008"/>
      <c r="L92" s="1009"/>
      <c r="M92" s="1009"/>
      <c r="N92" s="1009"/>
      <c r="O92" s="1009"/>
      <c r="P92" s="1140"/>
      <c r="Q92" s="818" t="s">
        <v>446</v>
      </c>
    </row>
    <row r="93" spans="1:25" ht="35.15" customHeight="1" x14ac:dyDescent="0.3">
      <c r="A93" s="995" t="s">
        <v>82</v>
      </c>
      <c r="B93" s="996"/>
      <c r="C93" s="996"/>
      <c r="D93" s="999"/>
      <c r="E93" s="1000"/>
      <c r="F93" s="633">
        <v>100</v>
      </c>
      <c r="G93" s="154">
        <v>100</v>
      </c>
      <c r="H93" s="154">
        <v>100</v>
      </c>
      <c r="I93" s="154">
        <v>100</v>
      </c>
      <c r="J93" s="568">
        <v>100</v>
      </c>
      <c r="K93" s="573" t="e">
        <f>G21</f>
        <v>#N/A</v>
      </c>
      <c r="L93" s="463" t="e">
        <f>L55</f>
        <v>#DIV/0!</v>
      </c>
      <c r="M93" s="464" t="e">
        <f>K55</f>
        <v>#DIV/0!</v>
      </c>
      <c r="N93" s="465" t="e">
        <f>F84*D103</f>
        <v>#N/A</v>
      </c>
      <c r="O93" s="466" t="e">
        <f>N93/1000</f>
        <v>#N/A</v>
      </c>
      <c r="P93" s="405" t="e">
        <f>N93/(B55*1000)</f>
        <v>#N/A</v>
      </c>
      <c r="Q93" s="819">
        <f>' CMC &amp;'!$C$21</f>
        <v>4.1000000000000002E-2</v>
      </c>
    </row>
    <row r="94" spans="1:25" ht="35.15" customHeight="1" x14ac:dyDescent="0.3">
      <c r="A94" s="997" t="s">
        <v>83</v>
      </c>
      <c r="B94" s="998"/>
      <c r="C94" s="998"/>
      <c r="D94" s="1001"/>
      <c r="E94" s="1002"/>
      <c r="F94" s="634">
        <v>100</v>
      </c>
      <c r="G94" s="37">
        <v>100</v>
      </c>
      <c r="H94" s="37">
        <v>100</v>
      </c>
      <c r="I94" s="37">
        <v>100</v>
      </c>
      <c r="J94" s="569">
        <v>100</v>
      </c>
      <c r="K94" s="574" t="e">
        <f t="shared" ref="K94:K95" si="17">G22</f>
        <v>#N/A</v>
      </c>
      <c r="L94" s="25" t="e">
        <f>L56</f>
        <v>#DIV/0!</v>
      </c>
      <c r="M94" s="467" t="e">
        <f t="shared" ref="M94:M97" si="18">K56</f>
        <v>#DIV/0!</v>
      </c>
      <c r="N94" s="468" t="e">
        <f>G84*D103</f>
        <v>#N/A</v>
      </c>
      <c r="O94" s="469" t="e">
        <f>N94/1000</f>
        <v>#N/A</v>
      </c>
      <c r="P94" s="572" t="e">
        <f>N94/(B56*1000)</f>
        <v>#N/A</v>
      </c>
      <c r="Q94" s="820">
        <f>' CMC &amp;'!$C$21</f>
        <v>4.1000000000000002E-2</v>
      </c>
    </row>
    <row r="95" spans="1:25" ht="35.15" customHeight="1" thickBot="1" x14ac:dyDescent="0.35">
      <c r="A95" s="997" t="s">
        <v>84</v>
      </c>
      <c r="B95" s="998"/>
      <c r="C95" s="998"/>
      <c r="D95" s="1001"/>
      <c r="E95" s="1002"/>
      <c r="F95" s="638">
        <v>100</v>
      </c>
      <c r="G95" s="422">
        <v>100</v>
      </c>
      <c r="H95" s="422">
        <v>100</v>
      </c>
      <c r="I95" s="422">
        <v>100</v>
      </c>
      <c r="J95" s="570">
        <v>100</v>
      </c>
      <c r="K95" s="574" t="e">
        <f t="shared" si="17"/>
        <v>#N/A</v>
      </c>
      <c r="L95" s="25" t="e">
        <f>L57</f>
        <v>#DIV/0!</v>
      </c>
      <c r="M95" s="467" t="e">
        <f t="shared" si="18"/>
        <v>#DIV/0!</v>
      </c>
      <c r="N95" s="468" t="e">
        <f>H84*D103</f>
        <v>#N/A</v>
      </c>
      <c r="O95" s="469" t="e">
        <f>N95/1000</f>
        <v>#N/A</v>
      </c>
      <c r="P95" s="572" t="e">
        <f>N95/(B57*1000)</f>
        <v>#N/A</v>
      </c>
      <c r="Q95" s="820">
        <f>' CMC &amp;'!$C$21</f>
        <v>4.1000000000000002E-2</v>
      </c>
    </row>
    <row r="96" spans="1:25" ht="50.15" customHeight="1" thickBot="1" x14ac:dyDescent="0.35">
      <c r="A96" s="640"/>
      <c r="B96" s="1075"/>
      <c r="C96" s="1075"/>
      <c r="D96" s="1075"/>
      <c r="E96" s="1076"/>
      <c r="F96" s="639" t="e">
        <f>F82^4/((F79^4/$L$79)+(F80^4/$L$80)+(F81^4/$L$81))</f>
        <v>#N/A</v>
      </c>
      <c r="G96" s="567" t="e">
        <f>G82^4/((G79^4/$L$79)+(G80^4/$L$80)+(G81^4/$L$81))</f>
        <v>#N/A</v>
      </c>
      <c r="H96" s="567" t="e">
        <f>H82^4/((H79^4/$L$79)+(H80^4/$L$80)+(H81^4/$L$81))</f>
        <v>#N/A</v>
      </c>
      <c r="I96" s="567" t="e">
        <f>I82^4/((I79^4/$L$79)+(I80^4/$L$80)+(I81^4/$L$81))</f>
        <v>#N/A</v>
      </c>
      <c r="J96" s="571" t="e">
        <f>J82^4/((J79^4/$L$79)+(J80^4/$L$80)+(J81^4/$L$81))</f>
        <v>#N/A</v>
      </c>
      <c r="K96" s="574" t="e">
        <f>G24</f>
        <v>#N/A</v>
      </c>
      <c r="L96" s="25" t="e">
        <f>L58</f>
        <v>#DIV/0!</v>
      </c>
      <c r="M96" s="470" t="e">
        <f t="shared" si="18"/>
        <v>#DIV/0!</v>
      </c>
      <c r="N96" s="468" t="e">
        <f>I84*D103</f>
        <v>#N/A</v>
      </c>
      <c r="O96" s="469" t="e">
        <f>N96/1000</f>
        <v>#N/A</v>
      </c>
      <c r="P96" s="572" t="e">
        <f>N96/(B58*1000)</f>
        <v>#N/A</v>
      </c>
      <c r="Q96" s="820">
        <f>' CMC &amp;'!$C$21</f>
        <v>4.1000000000000002E-2</v>
      </c>
    </row>
    <row r="97" spans="2:25" ht="44.15" customHeight="1" thickBot="1" x14ac:dyDescent="0.35">
      <c r="B97" s="1"/>
      <c r="C97" s="1"/>
      <c r="D97" s="1"/>
      <c r="E97" s="1"/>
      <c r="F97" s="990" t="s">
        <v>27</v>
      </c>
      <c r="G97" s="991"/>
      <c r="H97" s="991"/>
      <c r="I97" s="991"/>
      <c r="J97" s="991"/>
      <c r="K97" s="471" t="e">
        <f>G25</f>
        <v>#N/A</v>
      </c>
      <c r="L97" s="149" t="e">
        <f>L59</f>
        <v>#DIV/0!</v>
      </c>
      <c r="M97" s="472" t="e">
        <f t="shared" si="18"/>
        <v>#DIV/0!</v>
      </c>
      <c r="N97" s="473" t="e">
        <f>J84*D103</f>
        <v>#N/A</v>
      </c>
      <c r="O97" s="532" t="e">
        <f>N97/1000</f>
        <v>#N/A</v>
      </c>
      <c r="P97" s="404" t="e">
        <f>N97/(B59*1000)</f>
        <v>#N/A</v>
      </c>
      <c r="Q97" s="821">
        <f>' CMC &amp;'!$C$21</f>
        <v>4.1000000000000002E-2</v>
      </c>
    </row>
    <row r="98" spans="2:25" ht="50.15" customHeight="1" thickBot="1" x14ac:dyDescent="0.35">
      <c r="B98" s="7"/>
      <c r="C98" s="1054"/>
      <c r="D98" s="1055"/>
      <c r="E98" s="1056"/>
      <c r="F98" s="383" t="e">
        <f>F84^4/((F77^4/F91)+(F82^4/F96))</f>
        <v>#N/A</v>
      </c>
      <c r="G98" s="384" t="e">
        <f>G84^4/((G77^4/G91)+(G82^4/G96))</f>
        <v>#N/A</v>
      </c>
      <c r="H98" s="384" t="e">
        <f>H84^4/((H77^4/H91)+(H82^4/H96))</f>
        <v>#N/A</v>
      </c>
      <c r="I98" s="384" t="e">
        <f>I84^4/((I77^4/I91)+(I82^4/I96))</f>
        <v>#N/A</v>
      </c>
      <c r="J98" s="385" t="e">
        <f>J84^4/((J77^4/J91)+(J82^4/J96))</f>
        <v>#N/A</v>
      </c>
      <c r="K98" s="1"/>
    </row>
    <row r="99" spans="2:25" s="7" customFormat="1" ht="10" customHeight="1" thickBot="1" x14ac:dyDescent="0.35">
      <c r="B99" s="36"/>
      <c r="C99" s="36"/>
      <c r="E99" s="32"/>
      <c r="R99" s="516"/>
      <c r="S99" s="516"/>
      <c r="T99" s="516"/>
      <c r="U99" s="516"/>
      <c r="V99" s="516"/>
      <c r="W99" s="516"/>
      <c r="X99" s="516"/>
      <c r="Y99" s="516"/>
    </row>
    <row r="100" spans="2:25" ht="35.15" customHeight="1" thickBot="1" x14ac:dyDescent="0.35">
      <c r="B100" s="1"/>
      <c r="C100" s="1"/>
      <c r="D100" s="1"/>
      <c r="E100" s="1"/>
      <c r="F100" s="987" t="s">
        <v>388</v>
      </c>
      <c r="G100" s="988"/>
      <c r="H100" s="988"/>
      <c r="I100" s="988"/>
      <c r="J100" s="989"/>
      <c r="K100" s="1"/>
    </row>
    <row r="101" spans="2:25" ht="35.15" customHeight="1" thickBot="1" x14ac:dyDescent="0.35">
      <c r="B101" s="135"/>
      <c r="C101" s="176"/>
      <c r="D101" s="136"/>
      <c r="E101" s="134"/>
      <c r="F101" s="380" t="e">
        <f>_xlfn.T.INV.2T(100%-$I$103,F98)</f>
        <v>#N/A</v>
      </c>
      <c r="G101" s="381" t="e">
        <f>_xlfn.T.INV.2T(100%-$I$103,G98)</f>
        <v>#N/A</v>
      </c>
      <c r="H101" s="381" t="e">
        <f>_xlfn.T.INV.2T(100%-$I$103,H98)</f>
        <v>#N/A</v>
      </c>
      <c r="I101" s="381" t="e">
        <f>_xlfn.T.INV.2T(100%-$I$103,I98)</f>
        <v>#N/A</v>
      </c>
      <c r="J101" s="382" t="e">
        <f>_xlfn.T.INV.2T(100%-$I$103,J98)</f>
        <v>#N/A</v>
      </c>
      <c r="K101" s="1"/>
    </row>
    <row r="102" spans="2:25" ht="10" customHeight="1" thickBot="1" x14ac:dyDescent="0.35">
      <c r="K102" s="1"/>
    </row>
    <row r="103" spans="2:25" ht="35.15" customHeight="1" thickBot="1" x14ac:dyDescent="0.35">
      <c r="C103" s="474" t="s">
        <v>340</v>
      </c>
      <c r="D103" s="475">
        <f>'DATOS &amp; '!M8</f>
        <v>2</v>
      </c>
      <c r="F103" s="987" t="s">
        <v>51</v>
      </c>
      <c r="G103" s="988"/>
      <c r="H103" s="989"/>
      <c r="I103" s="316">
        <f>'DATOS &amp; '!N8</f>
        <v>0.95</v>
      </c>
      <c r="L103" s="6"/>
    </row>
    <row r="104" spans="2:25" s="27" customFormat="1" ht="44.25" customHeight="1" thickBot="1" x14ac:dyDescent="0.35">
      <c r="R104" s="516"/>
      <c r="S104" s="516"/>
      <c r="T104" s="516"/>
      <c r="U104" s="516"/>
      <c r="V104" s="516"/>
      <c r="W104" s="516"/>
      <c r="X104" s="516"/>
      <c r="Y104" s="516"/>
    </row>
    <row r="105" spans="2:25" s="27" customFormat="1" ht="35.15" customHeight="1" thickBot="1" x14ac:dyDescent="0.35">
      <c r="B105" s="987" t="s">
        <v>405</v>
      </c>
      <c r="C105" s="1168"/>
      <c r="D105" s="1168"/>
      <c r="E105" s="1168"/>
      <c r="F105" s="1168"/>
      <c r="G105" s="1168"/>
      <c r="H105" s="1168"/>
      <c r="I105" s="1168"/>
      <c r="J105" s="1168"/>
      <c r="K105" s="1168"/>
      <c r="L105" s="1168"/>
      <c r="M105" s="1168"/>
      <c r="N105" s="1168"/>
      <c r="O105" s="1168"/>
      <c r="P105" s="1169"/>
      <c r="R105" s="516"/>
      <c r="S105" s="516"/>
      <c r="T105" s="516"/>
      <c r="U105" s="516"/>
      <c r="V105" s="516"/>
      <c r="W105" s="516"/>
      <c r="X105" s="516"/>
      <c r="Y105" s="516"/>
    </row>
    <row r="106" spans="2:25" s="27" customFormat="1" ht="35.15" customHeight="1" thickBot="1" x14ac:dyDescent="0.35">
      <c r="F106" s="318"/>
      <c r="R106" s="516"/>
      <c r="S106" s="516"/>
      <c r="T106" s="516"/>
      <c r="U106" s="516"/>
      <c r="V106" s="516"/>
      <c r="W106" s="516"/>
      <c r="X106" s="516"/>
      <c r="Y106" s="516"/>
    </row>
    <row r="107" spans="2:25" s="27" customFormat="1" ht="33" customHeight="1" x14ac:dyDescent="0.3">
      <c r="B107" s="972" t="s">
        <v>346</v>
      </c>
      <c r="C107" s="1162" t="s">
        <v>347</v>
      </c>
      <c r="D107" s="1162" t="s">
        <v>348</v>
      </c>
      <c r="E107" s="476" t="s">
        <v>31</v>
      </c>
      <c r="F107" s="1162" t="s">
        <v>32</v>
      </c>
      <c r="G107" s="476" t="s">
        <v>95</v>
      </c>
      <c r="H107" s="1162" t="s">
        <v>356</v>
      </c>
      <c r="I107" s="1162" t="s">
        <v>96</v>
      </c>
      <c r="J107" s="1018" t="s">
        <v>359</v>
      </c>
      <c r="K107" s="477" t="s">
        <v>35</v>
      </c>
      <c r="L107" s="1155" t="s">
        <v>362</v>
      </c>
      <c r="M107" s="1157" t="s">
        <v>363</v>
      </c>
      <c r="R107" s="516"/>
      <c r="S107" s="516"/>
      <c r="T107" s="516"/>
      <c r="U107" s="516"/>
      <c r="V107" s="516"/>
      <c r="W107" s="516"/>
      <c r="X107" s="516"/>
      <c r="Y107" s="516"/>
    </row>
    <row r="108" spans="2:25" s="27" customFormat="1" ht="35.15" customHeight="1" thickBot="1" x14ac:dyDescent="0.35">
      <c r="B108" s="973"/>
      <c r="C108" s="1163"/>
      <c r="D108" s="1163"/>
      <c r="E108" s="478"/>
      <c r="F108" s="1163"/>
      <c r="G108" s="479"/>
      <c r="H108" s="1163"/>
      <c r="I108" s="1163"/>
      <c r="J108" s="1019"/>
      <c r="K108" s="480"/>
      <c r="L108" s="1156"/>
      <c r="M108" s="1158"/>
      <c r="R108" s="516"/>
      <c r="S108" s="516"/>
      <c r="T108" s="516"/>
      <c r="U108" s="516"/>
      <c r="V108" s="516"/>
      <c r="W108" s="516"/>
      <c r="X108" s="516"/>
      <c r="Y108" s="516"/>
    </row>
    <row r="109" spans="2:25" s="27" customFormat="1" ht="35.15" customHeight="1" x14ac:dyDescent="0.3">
      <c r="B109" s="126" t="e">
        <f>J55</f>
        <v>#DIV/0!</v>
      </c>
      <c r="C109" s="313" t="e">
        <f>L93</f>
        <v>#DIV/0!</v>
      </c>
      <c r="D109" s="493" t="e">
        <f>F84</f>
        <v>#N/A</v>
      </c>
      <c r="E109" s="406" t="e">
        <f>1/D109^2</f>
        <v>#N/A</v>
      </c>
      <c r="F109" s="494" t="e">
        <f>E109*B109*C109</f>
        <v>#N/A</v>
      </c>
      <c r="G109" s="495" t="e">
        <f>E109*B109^2</f>
        <v>#N/A</v>
      </c>
      <c r="H109" s="406" t="e">
        <f>E109*($C$116*B109-C109)^2</f>
        <v>#N/A</v>
      </c>
      <c r="I109" s="495" t="e">
        <f>((($C$117*$C$119)+($C$118*(J55^2))))</f>
        <v>#N/A</v>
      </c>
      <c r="J109" s="313" t="e">
        <f>SQRT(I109)</f>
        <v>#N/A</v>
      </c>
      <c r="K109" s="496" t="e">
        <f>SQRT($C$119+I109)</f>
        <v>#DIV/0!</v>
      </c>
      <c r="L109" s="497" t="e">
        <f>$E$136+$G$136*N128</f>
        <v>#DIV/0!</v>
      </c>
      <c r="M109" s="498" t="e">
        <f>L109/B109</f>
        <v>#DIV/0!</v>
      </c>
      <c r="R109" s="516"/>
      <c r="S109" s="516"/>
      <c r="T109" s="516"/>
      <c r="U109" s="516"/>
      <c r="V109" s="516"/>
      <c r="W109" s="516"/>
      <c r="X109" s="516"/>
      <c r="Y109" s="516"/>
    </row>
    <row r="110" spans="2:25" s="27" customFormat="1" ht="35.15" customHeight="1" x14ac:dyDescent="0.3">
      <c r="B110" s="128" t="e">
        <f t="shared" ref="B110:B113" si="19">J56</f>
        <v>#DIV/0!</v>
      </c>
      <c r="C110" s="188" t="e">
        <f>L94</f>
        <v>#DIV/0!</v>
      </c>
      <c r="D110" s="188" t="e">
        <f>G84</f>
        <v>#N/A</v>
      </c>
      <c r="E110" s="481" t="e">
        <f t="shared" ref="E110:E113" si="20">1/D110^2</f>
        <v>#N/A</v>
      </c>
      <c r="F110" s="482" t="e">
        <f t="shared" ref="F110:F113" si="21">E110*B110*C110</f>
        <v>#N/A</v>
      </c>
      <c r="G110" s="483" t="e">
        <f t="shared" ref="G110:G113" si="22">E110*B110^2</f>
        <v>#N/A</v>
      </c>
      <c r="H110" s="481" t="e">
        <f>E110*($C$116*B110-C110)^2</f>
        <v>#N/A</v>
      </c>
      <c r="I110" s="483" t="e">
        <f>$C$117*$C$119+$C$118*J56^2</f>
        <v>#N/A</v>
      </c>
      <c r="J110" s="37" t="e">
        <f t="shared" ref="J110:J113" si="23">SQRT(I110)</f>
        <v>#N/A</v>
      </c>
      <c r="K110" s="484" t="e">
        <f>SQRT($C$119+I110)</f>
        <v>#DIV/0!</v>
      </c>
      <c r="L110" s="485" t="e">
        <f t="shared" ref="L110:L113" si="24">$E$136+$G$136*N129</f>
        <v>#DIV/0!</v>
      </c>
      <c r="M110" s="486" t="e">
        <f t="shared" ref="M110:M113" si="25">L110/B110</f>
        <v>#DIV/0!</v>
      </c>
      <c r="R110" s="516"/>
      <c r="S110" s="516"/>
      <c r="T110" s="516"/>
      <c r="U110" s="516"/>
      <c r="V110" s="516"/>
      <c r="W110" s="516"/>
      <c r="X110" s="516"/>
      <c r="Y110" s="516"/>
    </row>
    <row r="111" spans="2:25" s="27" customFormat="1" ht="35.15" customHeight="1" x14ac:dyDescent="0.3">
      <c r="B111" s="128" t="e">
        <f t="shared" si="19"/>
        <v>#DIV/0!</v>
      </c>
      <c r="C111" s="188" t="e">
        <f>L95</f>
        <v>#DIV/0!</v>
      </c>
      <c r="D111" s="188" t="e">
        <f>H84</f>
        <v>#N/A</v>
      </c>
      <c r="E111" s="481" t="e">
        <f t="shared" si="20"/>
        <v>#N/A</v>
      </c>
      <c r="F111" s="482" t="e">
        <f t="shared" si="21"/>
        <v>#N/A</v>
      </c>
      <c r="G111" s="483" t="e">
        <f t="shared" si="22"/>
        <v>#N/A</v>
      </c>
      <c r="H111" s="481" t="e">
        <f>E111*($C$116*B111-C111)^2</f>
        <v>#N/A</v>
      </c>
      <c r="I111" s="483" t="e">
        <f>$C$117*$C$119+$C$118*J57^2</f>
        <v>#N/A</v>
      </c>
      <c r="J111" s="37" t="e">
        <f t="shared" si="23"/>
        <v>#N/A</v>
      </c>
      <c r="K111" s="484" t="e">
        <f>SQRT($C$119+I111)</f>
        <v>#DIV/0!</v>
      </c>
      <c r="L111" s="485" t="e">
        <f t="shared" si="24"/>
        <v>#DIV/0!</v>
      </c>
      <c r="M111" s="486" t="e">
        <f t="shared" si="25"/>
        <v>#DIV/0!</v>
      </c>
      <c r="R111" s="516"/>
      <c r="S111" s="516"/>
      <c r="T111" s="516"/>
      <c r="U111" s="516"/>
      <c r="V111" s="516"/>
      <c r="W111" s="516"/>
      <c r="X111" s="516"/>
      <c r="Y111" s="516"/>
    </row>
    <row r="112" spans="2:25" s="27" customFormat="1" ht="35.15" customHeight="1" x14ac:dyDescent="0.3">
      <c r="B112" s="128" t="e">
        <f t="shared" si="19"/>
        <v>#DIV/0!</v>
      </c>
      <c r="C112" s="188" t="e">
        <f>L96</f>
        <v>#DIV/0!</v>
      </c>
      <c r="D112" s="188" t="e">
        <f>I84</f>
        <v>#N/A</v>
      </c>
      <c r="E112" s="481" t="e">
        <f t="shared" si="20"/>
        <v>#N/A</v>
      </c>
      <c r="F112" s="482" t="e">
        <f t="shared" si="21"/>
        <v>#N/A</v>
      </c>
      <c r="G112" s="483" t="e">
        <f t="shared" si="22"/>
        <v>#N/A</v>
      </c>
      <c r="H112" s="481" t="e">
        <f>E112*($C$116*B112-C112)^2</f>
        <v>#N/A</v>
      </c>
      <c r="I112" s="483" t="e">
        <f>$C$117*$C$119+$C$118*J58^2</f>
        <v>#N/A</v>
      </c>
      <c r="J112" s="37" t="e">
        <f t="shared" si="23"/>
        <v>#N/A</v>
      </c>
      <c r="K112" s="484" t="e">
        <f>SQRT($C$119+I112)</f>
        <v>#DIV/0!</v>
      </c>
      <c r="L112" s="485" t="e">
        <f t="shared" si="24"/>
        <v>#DIV/0!</v>
      </c>
      <c r="M112" s="486" t="e">
        <f t="shared" si="25"/>
        <v>#DIV/0!</v>
      </c>
      <c r="R112" s="516"/>
      <c r="S112" s="516"/>
      <c r="T112" s="516"/>
      <c r="U112" s="516"/>
      <c r="V112" s="516"/>
      <c r="W112" s="516"/>
      <c r="X112" s="516"/>
      <c r="Y112" s="516"/>
    </row>
    <row r="113" spans="2:26" s="27" customFormat="1" ht="35.15" customHeight="1" thickBot="1" x14ac:dyDescent="0.35">
      <c r="B113" s="130" t="e">
        <f t="shared" si="19"/>
        <v>#DIV/0!</v>
      </c>
      <c r="C113" s="144" t="e">
        <f>L97</f>
        <v>#DIV/0!</v>
      </c>
      <c r="D113" s="144" t="e">
        <f>J84</f>
        <v>#N/A</v>
      </c>
      <c r="E113" s="407" t="e">
        <f t="shared" si="20"/>
        <v>#N/A</v>
      </c>
      <c r="F113" s="487" t="e">
        <f t="shared" si="21"/>
        <v>#N/A</v>
      </c>
      <c r="G113" s="488" t="e">
        <f t="shared" si="22"/>
        <v>#N/A</v>
      </c>
      <c r="H113" s="407" t="e">
        <f>E113*($C$116*B113-C113)^2</f>
        <v>#N/A</v>
      </c>
      <c r="I113" s="488" t="e">
        <f>$C$117*$C$119+$C$118*J59^2</f>
        <v>#N/A</v>
      </c>
      <c r="J113" s="489" t="e">
        <f t="shared" si="23"/>
        <v>#N/A</v>
      </c>
      <c r="K113" s="490" t="e">
        <f>SQRT($C$119+I113)</f>
        <v>#DIV/0!</v>
      </c>
      <c r="L113" s="491" t="e">
        <f t="shared" si="24"/>
        <v>#DIV/0!</v>
      </c>
      <c r="M113" s="492" t="e">
        <f t="shared" si="25"/>
        <v>#DIV/0!</v>
      </c>
      <c r="R113" s="516"/>
      <c r="S113" s="516"/>
      <c r="T113" s="516"/>
      <c r="U113" s="516"/>
      <c r="V113" s="516"/>
      <c r="W113" s="516"/>
      <c r="X113" s="516"/>
      <c r="Y113" s="516"/>
    </row>
    <row r="114" spans="2:26" s="27" customFormat="1" ht="35.15" customHeight="1" thickBot="1" x14ac:dyDescent="0.35">
      <c r="E114" s="499" t="s">
        <v>33</v>
      </c>
      <c r="F114" s="500" t="e">
        <f>SUM(F109:F113)</f>
        <v>#N/A</v>
      </c>
      <c r="G114" s="500" t="e">
        <f>SUM(G109:G113)</f>
        <v>#N/A</v>
      </c>
      <c r="H114" s="500" t="e">
        <f t="shared" ref="H114" si="26">SUM(H109:H113)</f>
        <v>#N/A</v>
      </c>
      <c r="I114" s="501" t="e">
        <f>SUM(I109:I113)</f>
        <v>#N/A</v>
      </c>
      <c r="R114" s="516"/>
      <c r="S114" s="516"/>
      <c r="T114" s="516"/>
      <c r="U114" s="516"/>
      <c r="V114" s="516"/>
      <c r="W114" s="516"/>
      <c r="X114" s="516"/>
      <c r="Y114" s="516"/>
    </row>
    <row r="115" spans="2:26" s="27" customFormat="1" ht="35.15" customHeight="1" thickBot="1" x14ac:dyDescent="0.35">
      <c r="R115" s="516"/>
      <c r="S115" s="516"/>
      <c r="T115" s="516"/>
      <c r="U115" s="516"/>
      <c r="V115" s="516"/>
      <c r="W115" s="516"/>
      <c r="X115" s="516"/>
      <c r="Y115" s="516"/>
    </row>
    <row r="116" spans="2:26" s="6" customFormat="1" ht="33" customHeight="1" thickBot="1" x14ac:dyDescent="0.35">
      <c r="B116" s="332" t="s">
        <v>97</v>
      </c>
      <c r="C116" s="338" t="e">
        <f>(F114/G114)</f>
        <v>#N/A</v>
      </c>
      <c r="E116" s="360" t="s">
        <v>366</v>
      </c>
      <c r="F116" s="352">
        <v>1</v>
      </c>
      <c r="G116" s="629" t="s">
        <v>88</v>
      </c>
      <c r="H116" s="630">
        <f>5-2</f>
        <v>3</v>
      </c>
      <c r="M116" s="27"/>
      <c r="N116" s="27"/>
      <c r="R116" s="54"/>
      <c r="S116" s="54"/>
      <c r="T116" s="54"/>
      <c r="U116" s="54"/>
      <c r="V116" s="54"/>
      <c r="W116" s="54"/>
      <c r="X116" s="54"/>
      <c r="Y116" s="54"/>
    </row>
    <row r="117" spans="2:26" s="6" customFormat="1" ht="28.5" customHeight="1" thickBot="1" x14ac:dyDescent="0.35">
      <c r="B117" s="333" t="s">
        <v>98</v>
      </c>
      <c r="C117" s="339" t="e">
        <f>C116^2</f>
        <v>#N/A</v>
      </c>
      <c r="E117" s="361" t="s">
        <v>367</v>
      </c>
      <c r="F117" s="353">
        <v>2</v>
      </c>
      <c r="G117" s="38"/>
      <c r="M117" s="27"/>
      <c r="N117" s="27"/>
      <c r="R117" s="54"/>
      <c r="S117" s="54"/>
      <c r="T117" s="54"/>
      <c r="U117" s="54"/>
      <c r="V117" s="54"/>
      <c r="W117" s="54"/>
      <c r="X117" s="54"/>
      <c r="Y117" s="54"/>
    </row>
    <row r="118" spans="2:26" ht="35.15" customHeight="1" x14ac:dyDescent="0.3">
      <c r="B118" s="334" t="s">
        <v>357</v>
      </c>
      <c r="C118" s="339" t="e">
        <f>1/G114</f>
        <v>#N/A</v>
      </c>
      <c r="E118" s="354" t="s">
        <v>364</v>
      </c>
      <c r="F118" s="340" t="e">
        <f>H114</f>
        <v>#N/A</v>
      </c>
      <c r="K118" s="1159"/>
      <c r="L118" s="1160"/>
      <c r="M118" s="1161"/>
      <c r="N118" s="27"/>
    </row>
    <row r="119" spans="2:26" ht="35.15" customHeight="1" thickBot="1" x14ac:dyDescent="0.35">
      <c r="B119" s="335" t="s">
        <v>99</v>
      </c>
      <c r="C119" s="379" t="e">
        <f>SUMSQ(F74:F76)</f>
        <v>#DIV/0!</v>
      </c>
      <c r="E119" s="355" t="s">
        <v>38</v>
      </c>
      <c r="F119" s="350">
        <v>2</v>
      </c>
      <c r="K119" s="358" t="e">
        <f>ABS(F118-F120)</f>
        <v>#N/A</v>
      </c>
      <c r="L119" s="359" t="s">
        <v>34</v>
      </c>
      <c r="M119" s="364">
        <f>F119*SQRT(2*F120)</f>
        <v>4.8989794855663558</v>
      </c>
      <c r="N119" s="27"/>
    </row>
    <row r="120" spans="2:26" ht="35.15" customHeight="1" thickBot="1" x14ac:dyDescent="0.35">
      <c r="B120" s="336" t="s">
        <v>358</v>
      </c>
      <c r="C120" s="340" t="e">
        <f>(C39/(G34*SQRT(12)))^2</f>
        <v>#DIV/0!</v>
      </c>
      <c r="E120" s="362" t="s">
        <v>39</v>
      </c>
      <c r="F120" s="351">
        <f>H116</f>
        <v>3</v>
      </c>
      <c r="K120" s="1095" t="e">
        <f>IF(K119&lt;=M119,"APROBADO","NO APROBADO")</f>
        <v>#N/A</v>
      </c>
      <c r="L120" s="1096"/>
      <c r="M120" s="1097"/>
      <c r="N120" s="27"/>
    </row>
    <row r="121" spans="2:26" ht="30.75" customHeight="1" thickBot="1" x14ac:dyDescent="0.35">
      <c r="B121" s="337"/>
      <c r="C121" s="341" t="e">
        <f>F48^2</f>
        <v>#DIV/0!</v>
      </c>
      <c r="E121" s="356" t="s">
        <v>57</v>
      </c>
      <c r="F121" s="315" t="e">
        <f>MAX(F101:J101)</f>
        <v>#N/A</v>
      </c>
      <c r="M121" s="27"/>
      <c r="N121" s="27"/>
    </row>
    <row r="122" spans="2:26" ht="30.75" customHeight="1" thickBot="1" x14ac:dyDescent="0.35"/>
    <row r="123" spans="2:26" ht="35.15" customHeight="1" thickBot="1" x14ac:dyDescent="0.35">
      <c r="B123" s="1012"/>
      <c r="C123" s="1013"/>
      <c r="D123" s="1013"/>
      <c r="E123" s="1013"/>
      <c r="F123" s="1013"/>
      <c r="G123" s="1013"/>
      <c r="H123" s="1013"/>
      <c r="I123" s="1013"/>
      <c r="J123" s="1013"/>
      <c r="K123" s="1013"/>
      <c r="L123" s="1013"/>
      <c r="M123" s="1013"/>
      <c r="N123" s="1013"/>
      <c r="O123" s="1013"/>
      <c r="P123" s="1014"/>
    </row>
    <row r="124" spans="2:26" ht="35.15" customHeight="1" x14ac:dyDescent="0.3">
      <c r="C124" s="330" t="s">
        <v>36</v>
      </c>
      <c r="D124" s="402" t="e">
        <f>SLOPE(O128:O132,N128:N132)</f>
        <v>#DIV/0!</v>
      </c>
      <c r="E124" s="985" t="s">
        <v>86</v>
      </c>
      <c r="F124" s="986"/>
      <c r="G124" s="331" t="s">
        <v>64</v>
      </c>
      <c r="H124" s="357">
        <v>5</v>
      </c>
      <c r="I124" s="1"/>
      <c r="K124" s="1"/>
    </row>
    <row r="125" spans="2:26" ht="35.15" customHeight="1" thickBot="1" x14ac:dyDescent="0.35">
      <c r="C125" s="178" t="s">
        <v>37</v>
      </c>
      <c r="D125" s="403" t="e">
        <f>INTERCEPT(K109:K113,G21:G25)</f>
        <v>#DIV/0!</v>
      </c>
      <c r="E125" s="983" t="s">
        <v>87</v>
      </c>
      <c r="F125" s="984"/>
      <c r="G125" s="179" t="s">
        <v>65</v>
      </c>
      <c r="H125" s="201" t="e">
        <f>D124*H124+D125</f>
        <v>#DIV/0!</v>
      </c>
    </row>
    <row r="126" spans="2:26" ht="35.15" customHeight="1" thickBot="1" x14ac:dyDescent="0.35">
      <c r="L126" s="6"/>
    </row>
    <row r="127" spans="2:26" ht="35.15" customHeight="1" thickBot="1" x14ac:dyDescent="0.35">
      <c r="N127" s="300" t="s">
        <v>59</v>
      </c>
      <c r="O127" s="416" t="s">
        <v>270</v>
      </c>
      <c r="R127" s="522" t="s">
        <v>425</v>
      </c>
      <c r="S127" s="522" t="s">
        <v>409</v>
      </c>
      <c r="T127" s="523">
        <v>5</v>
      </c>
      <c r="U127" s="522"/>
      <c r="V127" s="522"/>
      <c r="W127" s="522"/>
      <c r="X127" s="522"/>
      <c r="Y127" s="522"/>
      <c r="Z127" s="439"/>
    </row>
    <row r="128" spans="2:26" ht="35.15" customHeight="1" x14ac:dyDescent="0.3">
      <c r="N128" s="414" t="e">
        <f>G21</f>
        <v>#N/A</v>
      </c>
      <c r="O128" s="415" t="e">
        <f>K109</f>
        <v>#DIV/0!</v>
      </c>
      <c r="R128" s="524" t="s">
        <v>407</v>
      </c>
      <c r="S128" s="525" t="s">
        <v>408</v>
      </c>
      <c r="T128" s="525" t="s">
        <v>410</v>
      </c>
      <c r="U128" s="525" t="s">
        <v>445</v>
      </c>
      <c r="V128" s="526" t="s">
        <v>411</v>
      </c>
      <c r="W128" s="526" t="s">
        <v>412</v>
      </c>
      <c r="X128" s="526" t="s">
        <v>413</v>
      </c>
      <c r="Y128" s="526" t="s">
        <v>414</v>
      </c>
      <c r="Z128" s="439"/>
    </row>
    <row r="129" spans="1:26" ht="35.15" customHeight="1" x14ac:dyDescent="0.3">
      <c r="I129" s="14"/>
      <c r="L129" s="197"/>
      <c r="N129" s="128" t="e">
        <f>G22</f>
        <v>#N/A</v>
      </c>
      <c r="O129" s="129" t="e">
        <f>K110</f>
        <v>#DIV/0!</v>
      </c>
      <c r="R129" s="523" t="e">
        <f t="shared" ref="R129:S133" si="27">N128</f>
        <v>#N/A</v>
      </c>
      <c r="S129" s="523" t="e">
        <f t="shared" si="27"/>
        <v>#DIV/0!</v>
      </c>
      <c r="T129" s="523" t="e">
        <f>R129*S129</f>
        <v>#N/A</v>
      </c>
      <c r="U129" s="523" t="e">
        <f>R129^2</f>
        <v>#N/A</v>
      </c>
      <c r="V129" s="522" t="e">
        <f>R134/T127</f>
        <v>#N/A</v>
      </c>
      <c r="W129" s="527" t="e">
        <f>S134/T127</f>
        <v>#DIV/0!</v>
      </c>
      <c r="X129" s="528" t="e">
        <f>SLOPE(S129:S133,R129:R133)</f>
        <v>#DIV/0!</v>
      </c>
      <c r="Y129" s="522" t="e">
        <f>INTERCEPT(K109:K113,G21:G25)</f>
        <v>#DIV/0!</v>
      </c>
      <c r="Z129" s="439"/>
    </row>
    <row r="130" spans="1:26" ht="35.15" customHeight="1" x14ac:dyDescent="0.3">
      <c r="I130" s="14"/>
      <c r="N130" s="128" t="e">
        <f>G23</f>
        <v>#N/A</v>
      </c>
      <c r="O130" s="129" t="e">
        <f>K111</f>
        <v>#DIV/0!</v>
      </c>
      <c r="R130" s="523" t="e">
        <f t="shared" si="27"/>
        <v>#N/A</v>
      </c>
      <c r="S130" s="523" t="e">
        <f t="shared" si="27"/>
        <v>#DIV/0!</v>
      </c>
      <c r="T130" s="523" t="e">
        <f t="shared" ref="T130:T133" si="28">R130*S130</f>
        <v>#N/A</v>
      </c>
      <c r="U130" s="523" t="e">
        <f t="shared" ref="U130:U133" si="29">R130^2</f>
        <v>#N/A</v>
      </c>
      <c r="V130" s="522"/>
      <c r="W130" s="522"/>
      <c r="X130" s="522"/>
      <c r="Y130" s="522"/>
      <c r="Z130" s="439"/>
    </row>
    <row r="131" spans="1:26" ht="35.15" customHeight="1" x14ac:dyDescent="0.3">
      <c r="I131" s="14"/>
      <c r="N131" s="128" t="e">
        <f>G24</f>
        <v>#N/A</v>
      </c>
      <c r="O131" s="129" t="e">
        <f>K112</f>
        <v>#DIV/0!</v>
      </c>
      <c r="R131" s="523" t="e">
        <f t="shared" si="27"/>
        <v>#N/A</v>
      </c>
      <c r="S131" s="523" t="e">
        <f t="shared" si="27"/>
        <v>#DIV/0!</v>
      </c>
      <c r="T131" s="523" t="e">
        <f t="shared" si="28"/>
        <v>#N/A</v>
      </c>
      <c r="U131" s="523" t="e">
        <f t="shared" si="29"/>
        <v>#N/A</v>
      </c>
      <c r="V131" s="522"/>
      <c r="W131" s="522"/>
      <c r="X131" s="522"/>
      <c r="Y131" s="522"/>
      <c r="Z131" s="439"/>
    </row>
    <row r="132" spans="1:26" ht="35.15" customHeight="1" thickBot="1" x14ac:dyDescent="0.35">
      <c r="A132" s="39"/>
      <c r="I132" s="14"/>
      <c r="N132" s="130" t="e">
        <f>G25</f>
        <v>#N/A</v>
      </c>
      <c r="O132" s="131" t="e">
        <f>K113</f>
        <v>#DIV/0!</v>
      </c>
      <c r="R132" s="523" t="e">
        <f t="shared" si="27"/>
        <v>#N/A</v>
      </c>
      <c r="S132" s="523" t="e">
        <f t="shared" si="27"/>
        <v>#DIV/0!</v>
      </c>
      <c r="T132" s="523" t="e">
        <f t="shared" si="28"/>
        <v>#N/A</v>
      </c>
      <c r="U132" s="523" t="e">
        <f t="shared" si="29"/>
        <v>#N/A</v>
      </c>
      <c r="V132" s="522"/>
      <c r="W132" s="522"/>
      <c r="X132" s="522"/>
      <c r="Y132" s="522"/>
      <c r="Z132" s="439"/>
    </row>
    <row r="133" spans="1:26" ht="35.15" customHeight="1" x14ac:dyDescent="0.3">
      <c r="A133" s="39"/>
      <c r="I133" s="14"/>
      <c r="J133" s="14"/>
      <c r="K133" s="14"/>
      <c r="L133" s="14"/>
      <c r="R133" s="523" t="e">
        <f t="shared" si="27"/>
        <v>#N/A</v>
      </c>
      <c r="S133" s="523" t="e">
        <f t="shared" si="27"/>
        <v>#DIV/0!</v>
      </c>
      <c r="T133" s="523" t="e">
        <f t="shared" si="28"/>
        <v>#N/A</v>
      </c>
      <c r="U133" s="523" t="e">
        <f t="shared" si="29"/>
        <v>#N/A</v>
      </c>
      <c r="V133" s="522"/>
      <c r="W133" s="522"/>
      <c r="X133" s="522"/>
      <c r="Y133" s="522"/>
      <c r="Z133" s="439"/>
    </row>
    <row r="134" spans="1:26" ht="43.5" customHeight="1" thickBot="1" x14ac:dyDescent="0.35">
      <c r="A134" s="39"/>
      <c r="I134" s="40"/>
      <c r="J134" s="40"/>
      <c r="K134" s="40"/>
      <c r="L134" s="40"/>
      <c r="R134" s="529" t="e">
        <f>SUM(R129:R133)</f>
        <v>#N/A</v>
      </c>
      <c r="S134" s="529" t="e">
        <f t="shared" ref="S134:U134" si="30">SUM(S129:S133)</f>
        <v>#DIV/0!</v>
      </c>
      <c r="T134" s="529" t="e">
        <f t="shared" si="30"/>
        <v>#N/A</v>
      </c>
      <c r="U134" s="529" t="e">
        <f t="shared" si="30"/>
        <v>#N/A</v>
      </c>
      <c r="V134" s="530" t="s">
        <v>424</v>
      </c>
      <c r="W134" s="531"/>
      <c r="X134" s="531"/>
      <c r="Y134" s="531"/>
      <c r="Z134" s="39"/>
    </row>
    <row r="135" spans="1:26" s="6" customFormat="1" ht="35.15" customHeight="1" thickBot="1" x14ac:dyDescent="0.35">
      <c r="C135" s="342" t="s">
        <v>100</v>
      </c>
      <c r="D135" s="343"/>
      <c r="E135" s="344" t="e">
        <f>C117*C119</f>
        <v>#N/A</v>
      </c>
      <c r="F135" s="345" t="s">
        <v>60</v>
      </c>
      <c r="G135" s="344" t="e">
        <f>C118+C117*C120</f>
        <v>#N/A</v>
      </c>
      <c r="H135" s="347" t="s">
        <v>101</v>
      </c>
      <c r="L135" s="14"/>
      <c r="M135" s="1"/>
      <c r="N135" s="1"/>
      <c r="O135" s="1"/>
      <c r="P135" s="1"/>
      <c r="Q135" s="1"/>
      <c r="R135" s="519"/>
      <c r="S135" s="519"/>
      <c r="T135" s="519"/>
      <c r="U135" s="54"/>
      <c r="V135" s="54"/>
      <c r="W135" s="54"/>
      <c r="X135" s="54"/>
      <c r="Y135" s="54"/>
    </row>
    <row r="136" spans="1:26" s="6" customFormat="1" ht="35.15" customHeight="1" thickBot="1" x14ac:dyDescent="0.35">
      <c r="A136" s="1"/>
      <c r="C136" s="1153" t="s">
        <v>360</v>
      </c>
      <c r="D136" s="1154"/>
      <c r="E136" s="401" t="e">
        <f>D125*D103</f>
        <v>#DIV/0!</v>
      </c>
      <c r="F136" s="346" t="s">
        <v>60</v>
      </c>
      <c r="G136" s="349" t="e">
        <f>D124*D103</f>
        <v>#DIV/0!</v>
      </c>
      <c r="H136" s="348" t="s">
        <v>361</v>
      </c>
      <c r="M136" s="1"/>
      <c r="N136" s="1"/>
      <c r="O136" s="1"/>
      <c r="P136" s="1"/>
      <c r="Q136" s="1"/>
      <c r="R136" s="519"/>
      <c r="S136" s="519"/>
      <c r="T136" s="519"/>
      <c r="U136" s="54"/>
      <c r="V136" s="54"/>
      <c r="W136" s="54"/>
      <c r="X136" s="54"/>
      <c r="Y136" s="54"/>
    </row>
    <row r="137" spans="1:26" ht="35.15" customHeight="1" thickBot="1" x14ac:dyDescent="0.35"/>
    <row r="138" spans="1:26" ht="35.15" customHeight="1" thickBot="1" x14ac:dyDescent="0.35">
      <c r="B138" s="1015" t="s">
        <v>62</v>
      </c>
      <c r="C138" s="1016"/>
      <c r="D138" s="1016"/>
      <c r="E138" s="1016"/>
      <c r="F138" s="1016"/>
      <c r="G138" s="1016"/>
      <c r="H138" s="1016"/>
      <c r="I138" s="1016"/>
      <c r="J138" s="1016"/>
      <c r="K138" s="1016"/>
      <c r="L138" s="1016"/>
      <c r="M138" s="1016"/>
      <c r="N138" s="1016"/>
      <c r="O138" s="1016"/>
      <c r="P138" s="1017"/>
    </row>
    <row r="139" spans="1:26" ht="35.15" customHeight="1" thickBot="1" x14ac:dyDescent="0.35">
      <c r="F139" s="502" t="s">
        <v>369</v>
      </c>
      <c r="H139" s="1"/>
      <c r="O139" s="312"/>
    </row>
    <row r="140" spans="1:26" ht="35.15" customHeight="1" x14ac:dyDescent="0.3">
      <c r="B140" s="981" t="s">
        <v>365</v>
      </c>
      <c r="C140" s="982"/>
      <c r="D140" s="982"/>
      <c r="E140" s="180" t="s">
        <v>92</v>
      </c>
      <c r="F140" s="406" t="e">
        <f>C116</f>
        <v>#N/A</v>
      </c>
      <c r="G140" s="204" t="s">
        <v>241</v>
      </c>
      <c r="I140" s="981" t="s">
        <v>58</v>
      </c>
      <c r="J140" s="982"/>
      <c r="K140" s="982"/>
      <c r="L140" s="309" t="s">
        <v>63</v>
      </c>
      <c r="M140" s="154" t="e">
        <f>D125*D103</f>
        <v>#DIV/0!</v>
      </c>
      <c r="N140" s="181" t="s">
        <v>60</v>
      </c>
      <c r="O140" s="405" t="e">
        <f>D124*D103</f>
        <v>#DIV/0!</v>
      </c>
      <c r="P140" s="202" t="s">
        <v>241</v>
      </c>
    </row>
    <row r="141" spans="1:26" ht="35.15" customHeight="1" thickBot="1" x14ac:dyDescent="0.35">
      <c r="B141" s="1100" t="s">
        <v>365</v>
      </c>
      <c r="C141" s="1101"/>
      <c r="D141" s="1101"/>
      <c r="E141" s="208" t="s">
        <v>242</v>
      </c>
      <c r="F141" s="407" t="e">
        <f>F140</f>
        <v>#N/A</v>
      </c>
      <c r="G141" s="205" t="s">
        <v>61</v>
      </c>
      <c r="I141" s="1065" t="s">
        <v>58</v>
      </c>
      <c r="J141" s="1066"/>
      <c r="K141" s="1066"/>
      <c r="L141" s="207" t="s">
        <v>237</v>
      </c>
      <c r="M141" s="455" t="e">
        <f>M140/1000</f>
        <v>#DIV/0!</v>
      </c>
      <c r="N141" s="182" t="s">
        <v>60</v>
      </c>
      <c r="O141" s="404" t="e">
        <f>O140/1000</f>
        <v>#DIV/0!</v>
      </c>
      <c r="P141" s="203" t="s">
        <v>61</v>
      </c>
    </row>
    <row r="142" spans="1:26" ht="35.15" customHeight="1" x14ac:dyDescent="0.3">
      <c r="J142" s="1"/>
    </row>
    <row r="143" spans="1:26" ht="35.15" customHeight="1" x14ac:dyDescent="0.3">
      <c r="F143" s="365"/>
      <c r="J143" s="1"/>
      <c r="K143" s="1"/>
    </row>
    <row r="144" spans="1:26" ht="35.15" customHeight="1" x14ac:dyDescent="0.3">
      <c r="F144" s="307"/>
      <c r="H144" s="41"/>
      <c r="O144" s="197"/>
    </row>
  </sheetData>
  <sheetProtection algorithmName="SHA-512" hashValue="03XeOkzB0li3JaeTPzxK1aGcoqyQW0UApYQ8qnOYyK1iMMYt7teSw2bXVSpdCuf/w6XVuWGf0Ug/PCiXpoSxCg==" saltValue="Pd5VGfk2KH/xGAnJlfgALA==" spinCount="100000" sheet="1" objects="1" scenarios="1"/>
  <dataConsolidate>
    <dataRefs count="2">
      <dataRef ref="C5:D7" sheet="DATOS DE LOS PATRONES " r:id="rId1"/>
      <dataRef ref="K5:L7" sheet="DATOS DE LOS PATRONES " r:id="rId2"/>
    </dataRefs>
  </dataConsolidate>
  <mergeCells count="125">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N55:O55"/>
    <mergeCell ref="B12:C12"/>
    <mergeCell ref="G8:J8"/>
    <mergeCell ref="I9:J9"/>
    <mergeCell ref="G9:H9"/>
    <mergeCell ref="B8:E8"/>
    <mergeCell ref="B9:C9"/>
    <mergeCell ref="B10:C10"/>
    <mergeCell ref="B11:C11"/>
    <mergeCell ref="G10:H10"/>
    <mergeCell ref="I10:J10"/>
    <mergeCell ref="I11:J11"/>
    <mergeCell ref="I12:J12"/>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4" orientation="portrait" r:id="rId3"/>
  <headerFooter>
    <oddFooter>&amp;RRT03-F12 Vr.12 (2020-11-25)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'DATOS &amp; '!$C$7:$C$9</xm:f>
          </x14:formula1>
          <xm:sqref>J5:J6</xm:sqref>
        </x14:dataValidation>
        <x14:dataValidation type="list" allowBlank="1" showInputMessage="1" showErrorMessage="1" xr:uid="{00000000-0002-0000-0100-000002000000}">
          <x14:formula1>
            <xm:f>'DATOS &amp; '!$C$16:$C$22</xm:f>
          </x14:formula1>
          <xm:sqref>F8</xm:sqref>
        </x14:dataValidation>
        <x14:dataValidation type="list" allowBlank="1" showInputMessage="1" showErrorMessage="1" xr:uid="{00000000-0002-0000-0100-000003000000}">
          <x14:formula1>
            <xm:f>'DATOS &amp; '!$B$27:$B$89</xm:f>
          </x14:formula1>
          <xm:sqref>K8</xm:sqref>
        </x14:dataValidation>
        <x14:dataValidation type="list" allowBlank="1" showInputMessage="1" showErrorMessage="1" xr:uid="{00000000-0002-0000-0100-000004000000}">
          <x14:formula1>
            <xm:f>'DATOS &amp; '!$K$27:$K$45</xm:f>
          </x14:formula1>
          <xm:sqref>E19</xm:sqref>
        </x14:dataValidation>
        <x14:dataValidation type="list" allowBlank="1" showInputMessage="1" showErrorMessage="1" xr:uid="{00000000-0002-0000-0100-000005000000}">
          <x14:formula1>
            <xm:f>'DATOS &amp; '!$L$27:$L$52</xm:f>
          </x14:formula1>
          <xm:sqref>D22:F22</xm:sqref>
        </x14:dataValidation>
        <x14:dataValidation type="list" allowBlank="1" showInputMessage="1" showErrorMessage="1" xr:uid="{00000000-0002-0000-0100-000006000000}">
          <x14:formula1>
            <xm:f>'DATOS &amp; '!$G$161:$G$166</xm:f>
          </x14:formula1>
          <xm:sqref>K28:K29</xm:sqref>
        </x14:dataValidation>
        <x14:dataValidation type="list" allowBlank="1" showInputMessage="1" showErrorMessage="1" xr:uid="{00000000-0002-0000-0100-000007000000}">
          <x14:formula1>
            <xm:f>'DATOS &amp; '!$A$157:$A$160</xm:f>
          </x14:formula1>
          <xm:sqref>N52:O52</xm:sqref>
        </x14:dataValidation>
        <x14:dataValidation type="list" allowBlank="1" showInputMessage="1" showErrorMessage="1" xr:uid="{00000000-0002-0000-0100-000000000000}">
          <x14:formula1>
            <xm:f>'DATOS &amp; '!$C$27:$C$89</xm:f>
          </x14:formula1>
          <xm:sqref>E24</xm:sqref>
        </x14:dataValidation>
        <x14:dataValidation type="list" allowBlank="1" showInputMessage="1" showErrorMessage="1" xr:uid="{AB990F5F-25AD-4F33-B996-A3D599F60562}">
          <x14:formula1>
            <xm:f>'DATOS &amp; '!$C$27:$C$92</xm:f>
          </x14:formula1>
          <xm:sqref>K21:K25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R173"/>
  <sheetViews>
    <sheetView showGridLines="0" showRuler="0" showWhiteSpace="0" view="pageBreakPreview" topLeftCell="A157" zoomScale="70" zoomScaleNormal="110" zoomScaleSheetLayoutView="70" zoomScalePageLayoutView="85" workbookViewId="0">
      <selection activeCell="B158" sqref="B158:G158"/>
    </sheetView>
  </sheetViews>
  <sheetFormatPr baseColWidth="10" defaultColWidth="11.453125" defaultRowHeight="15" customHeight="1" x14ac:dyDescent="0.35"/>
  <cols>
    <col min="1" max="1" width="2" style="642" customWidth="1"/>
    <col min="2" max="2" width="21.08984375" style="642" customWidth="1"/>
    <col min="3" max="3" width="19.54296875" style="642" customWidth="1"/>
    <col min="4" max="6" width="17.7265625" style="642" customWidth="1"/>
    <col min="7" max="7" width="21.26953125" style="642" customWidth="1"/>
    <col min="8" max="14" width="11.453125" style="642"/>
    <col min="15" max="15" width="7.1796875" style="642" customWidth="1"/>
    <col min="16" max="18" width="11.453125" style="642" hidden="1" customWidth="1"/>
    <col min="19" max="16384" width="11.453125" style="642"/>
  </cols>
  <sheetData>
    <row r="1" spans="1:7" ht="125" customHeight="1" x14ac:dyDescent="0.35">
      <c r="A1" s="1197"/>
      <c r="B1" s="1197"/>
      <c r="C1" s="1197"/>
      <c r="D1" s="1197"/>
      <c r="E1" s="1197"/>
      <c r="F1" s="1197"/>
      <c r="G1" s="1197"/>
    </row>
    <row r="2" spans="1:7" ht="35" customHeight="1" x14ac:dyDescent="0.35">
      <c r="A2" s="643"/>
      <c r="B2" s="643"/>
      <c r="C2" s="643"/>
    </row>
    <row r="3" spans="1:7" ht="35" customHeight="1" x14ac:dyDescent="0.35">
      <c r="A3" s="643"/>
      <c r="B3" s="643"/>
      <c r="C3" s="643"/>
      <c r="E3" s="1194" t="s">
        <v>259</v>
      </c>
      <c r="F3" s="1194"/>
      <c r="G3" s="644" t="e">
        <f>'RT03-F12 &amp;'!I6</f>
        <v>#N/A</v>
      </c>
    </row>
    <row r="4" spans="1:7" ht="20.149999999999999" customHeight="1" x14ac:dyDescent="0.35">
      <c r="A4" s="1193" t="s">
        <v>66</v>
      </c>
      <c r="B4" s="1193"/>
      <c r="C4" s="1193"/>
      <c r="D4" s="1193"/>
    </row>
    <row r="5" spans="1:7" ht="15.75" customHeight="1" x14ac:dyDescent="0.35">
      <c r="A5" s="645"/>
      <c r="B5" s="645"/>
      <c r="C5" s="646"/>
      <c r="D5" s="646"/>
      <c r="E5" s="646"/>
      <c r="F5" s="646"/>
      <c r="G5" s="646"/>
    </row>
    <row r="6" spans="1:7" ht="23" customHeight="1" x14ac:dyDescent="0.35">
      <c r="A6" s="1235" t="s">
        <v>249</v>
      </c>
      <c r="B6" s="1235"/>
      <c r="C6" s="1235"/>
      <c r="D6" s="1243" t="e">
        <f>'RT03-F12 &amp;'!G6</f>
        <v>#N/A</v>
      </c>
      <c r="E6" s="1244"/>
      <c r="F6" s="1244"/>
      <c r="G6" s="1244"/>
    </row>
    <row r="7" spans="1:7" ht="23" customHeight="1" x14ac:dyDescent="0.35">
      <c r="A7" s="1235" t="s">
        <v>67</v>
      </c>
      <c r="B7" s="1235"/>
      <c r="C7" s="1235"/>
      <c r="D7" s="1237" t="e">
        <f>'RT03-F12 &amp;'!H6</f>
        <v>#N/A</v>
      </c>
      <c r="E7" s="1237"/>
      <c r="F7" s="1237"/>
      <c r="G7" s="1237"/>
    </row>
    <row r="8" spans="1:7" ht="23" customHeight="1" x14ac:dyDescent="0.35">
      <c r="A8" s="1235" t="s">
        <v>68</v>
      </c>
      <c r="B8" s="1235"/>
      <c r="C8" s="1235"/>
      <c r="D8" s="1243" t="e">
        <f>'RT03-F12 &amp;'!B6</f>
        <v>#N/A</v>
      </c>
      <c r="E8" s="1244"/>
      <c r="F8" s="647"/>
      <c r="G8" s="647"/>
    </row>
    <row r="9" spans="1:7" ht="18" customHeight="1" x14ac:dyDescent="0.35">
      <c r="A9" s="648"/>
      <c r="B9" s="648"/>
      <c r="C9" s="648"/>
      <c r="D9" s="649"/>
      <c r="E9" s="648"/>
      <c r="F9" s="650"/>
      <c r="G9" s="650"/>
    </row>
    <row r="10" spans="1:7" ht="23" customHeight="1" x14ac:dyDescent="0.35">
      <c r="A10" s="1235" t="s">
        <v>69</v>
      </c>
      <c r="B10" s="1235"/>
      <c r="C10" s="1235"/>
      <c r="D10" s="651" t="e">
        <f>'RT03-F12 &amp;'!C6</f>
        <v>#N/A</v>
      </c>
      <c r="E10" s="1236" t="s">
        <v>71</v>
      </c>
      <c r="F10" s="1236"/>
      <c r="G10" s="651" t="e">
        <f>'RT03-F12 &amp;'!F6</f>
        <v>#N/A</v>
      </c>
    </row>
    <row r="11" spans="1:7" ht="15" customHeight="1" x14ac:dyDescent="0.35">
      <c r="A11" s="648"/>
      <c r="B11" s="648"/>
      <c r="C11" s="648"/>
      <c r="D11" s="651"/>
      <c r="E11" s="652"/>
      <c r="F11" s="652"/>
      <c r="G11" s="651"/>
    </row>
    <row r="12" spans="1:7" ht="23.15" customHeight="1" x14ac:dyDescent="0.35">
      <c r="A12" s="1193" t="s">
        <v>280</v>
      </c>
      <c r="B12" s="1193"/>
      <c r="C12" s="1193"/>
      <c r="D12" s="1193"/>
      <c r="E12" s="1193"/>
      <c r="F12" s="1193"/>
      <c r="G12" s="1193"/>
    </row>
    <row r="13" spans="1:7" ht="12" customHeight="1" x14ac:dyDescent="0.35">
      <c r="A13" s="648"/>
      <c r="B13" s="648"/>
      <c r="C13" s="648"/>
      <c r="D13" s="648"/>
      <c r="E13" s="648"/>
      <c r="F13" s="650"/>
      <c r="G13" s="650"/>
    </row>
    <row r="14" spans="1:7" ht="23" customHeight="1" x14ac:dyDescent="0.35">
      <c r="A14" s="1235" t="s">
        <v>298</v>
      </c>
      <c r="B14" s="1235"/>
      <c r="C14" s="1235"/>
      <c r="D14" s="1241" t="s">
        <v>491</v>
      </c>
      <c r="E14" s="1241"/>
      <c r="F14" s="650"/>
      <c r="G14" s="650"/>
    </row>
    <row r="15" spans="1:7" ht="23" customHeight="1" x14ac:dyDescent="0.35">
      <c r="A15" s="1235" t="s">
        <v>299</v>
      </c>
      <c r="B15" s="1235"/>
      <c r="C15" s="1235"/>
      <c r="D15" s="1235" t="e">
        <f>'RT03-F12 &amp;'!D9</f>
        <v>#N/A</v>
      </c>
      <c r="E15" s="1235"/>
      <c r="F15" s="650"/>
      <c r="G15" s="650"/>
    </row>
    <row r="16" spans="1:7" ht="23" customHeight="1" x14ac:dyDescent="0.35">
      <c r="A16" s="1235" t="s">
        <v>406</v>
      </c>
      <c r="B16" s="1235"/>
      <c r="C16" s="1235"/>
      <c r="D16" s="1235" t="e">
        <f>'RT03-F12 &amp;'!D11</f>
        <v>#N/A</v>
      </c>
      <c r="E16" s="1235"/>
      <c r="F16" s="1235"/>
      <c r="G16" s="1235"/>
    </row>
    <row r="17" spans="1:7" ht="23" customHeight="1" x14ac:dyDescent="0.35">
      <c r="A17" s="1235" t="s">
        <v>300</v>
      </c>
      <c r="B17" s="1235"/>
      <c r="C17" s="1235"/>
      <c r="D17" s="1235" t="e">
        <f>'RT03-F12 &amp;'!D10</f>
        <v>#N/A</v>
      </c>
      <c r="E17" s="1235"/>
      <c r="F17" s="650"/>
      <c r="G17" s="650"/>
    </row>
    <row r="18" spans="1:7" ht="23" customHeight="1" x14ac:dyDescent="0.35">
      <c r="A18" s="1235" t="s">
        <v>301</v>
      </c>
      <c r="B18" s="1235"/>
      <c r="C18" s="1235"/>
      <c r="D18" s="653" t="e">
        <f>'RT03-F12 &amp;'!D12</f>
        <v>#N/A</v>
      </c>
      <c r="E18" s="648"/>
      <c r="F18" s="654"/>
      <c r="G18" s="648"/>
    </row>
    <row r="19" spans="1:7" ht="23" customHeight="1" x14ac:dyDescent="0.35">
      <c r="A19" s="1245" t="s">
        <v>302</v>
      </c>
      <c r="B19" s="1245"/>
      <c r="C19" s="1245"/>
      <c r="D19" s="655" t="e">
        <f>'RT03-F12 &amp;'!D13</f>
        <v>#N/A</v>
      </c>
      <c r="E19" s="656"/>
      <c r="F19" s="656"/>
      <c r="G19" s="656"/>
    </row>
    <row r="20" spans="1:7" ht="23" customHeight="1" x14ac:dyDescent="0.35">
      <c r="A20" s="1245" t="s">
        <v>303</v>
      </c>
      <c r="B20" s="1245"/>
      <c r="C20" s="1245"/>
      <c r="D20" s="657" t="e">
        <f>'RT03-F12 &amp;'!D14</f>
        <v>#N/A</v>
      </c>
      <c r="E20" s="656"/>
      <c r="F20" s="656"/>
      <c r="G20" s="656"/>
    </row>
    <row r="21" spans="1:7" ht="23" customHeight="1" x14ac:dyDescent="0.35">
      <c r="A21" s="1245" t="s">
        <v>304</v>
      </c>
      <c r="B21" s="1245"/>
      <c r="C21" s="1245"/>
      <c r="D21" s="655" t="e">
        <f>'RT03-F12 &amp;'!D15</f>
        <v>#N/A</v>
      </c>
      <c r="E21" s="656"/>
      <c r="F21" s="656"/>
      <c r="G21" s="656"/>
    </row>
    <row r="22" spans="1:7" ht="23.15" customHeight="1" x14ac:dyDescent="0.35"/>
    <row r="23" spans="1:7" ht="23.15" customHeight="1" x14ac:dyDescent="0.35">
      <c r="A23" s="1193" t="s">
        <v>281</v>
      </c>
      <c r="B23" s="1193"/>
      <c r="C23" s="1193"/>
      <c r="D23" s="1193"/>
      <c r="E23" s="1193"/>
      <c r="F23" s="1193"/>
      <c r="G23" s="1193"/>
    </row>
    <row r="24" spans="1:7" ht="23" customHeight="1" x14ac:dyDescent="0.35">
      <c r="A24" s="1201" t="e">
        <f>'RT03-F12 &amp;'!E6</f>
        <v>#N/A</v>
      </c>
      <c r="B24" s="1201"/>
      <c r="C24" s="1201"/>
      <c r="D24" s="1201"/>
      <c r="E24" s="1201"/>
      <c r="F24" s="1201"/>
      <c r="G24" s="1201"/>
    </row>
    <row r="25" spans="1:7" ht="23.15" customHeight="1" x14ac:dyDescent="0.35">
      <c r="A25" s="659"/>
      <c r="B25" s="659"/>
      <c r="C25" s="646"/>
      <c r="D25" s="659"/>
      <c r="E25" s="646"/>
      <c r="F25" s="660"/>
      <c r="G25" s="660"/>
    </row>
    <row r="26" spans="1:7" ht="23.15" customHeight="1" x14ac:dyDescent="0.35">
      <c r="A26" s="1193" t="s">
        <v>282</v>
      </c>
      <c r="B26" s="1193"/>
      <c r="C26" s="1193"/>
      <c r="D26" s="1242" t="e">
        <f>'RT03-F12 &amp;'!D6</f>
        <v>#N/A</v>
      </c>
      <c r="E26" s="1242"/>
      <c r="F26" s="1242"/>
      <c r="G26" s="660"/>
    </row>
    <row r="27" spans="1:7" ht="23.15" customHeight="1" x14ac:dyDescent="0.35">
      <c r="E27" s="661"/>
      <c r="F27" s="646"/>
      <c r="G27" s="646"/>
    </row>
    <row r="28" spans="1:7" ht="23.15" customHeight="1" x14ac:dyDescent="0.35">
      <c r="A28" s="1205" t="s">
        <v>283</v>
      </c>
      <c r="B28" s="1205"/>
      <c r="C28" s="1205"/>
      <c r="D28" s="1205"/>
      <c r="E28" s="1205"/>
      <c r="F28" s="1205"/>
      <c r="G28" s="1205"/>
    </row>
    <row r="29" spans="1:7" ht="15" customHeight="1" x14ac:dyDescent="0.35">
      <c r="A29" s="662"/>
      <c r="B29" s="662"/>
      <c r="C29" s="662"/>
      <c r="D29" s="662"/>
      <c r="E29" s="661"/>
      <c r="F29" s="646"/>
      <c r="G29" s="646"/>
    </row>
    <row r="30" spans="1:7" ht="33" customHeight="1" x14ac:dyDescent="0.35">
      <c r="A30" s="1246" t="s">
        <v>305</v>
      </c>
      <c r="B30" s="1246"/>
      <c r="C30" s="1246"/>
      <c r="D30" s="1246"/>
      <c r="E30" s="1246"/>
      <c r="F30" s="1246"/>
      <c r="G30" s="1246"/>
    </row>
    <row r="31" spans="1:7" ht="25.5" customHeight="1" x14ac:dyDescent="0.35">
      <c r="A31" s="663"/>
      <c r="B31" s="663"/>
      <c r="C31" s="663"/>
      <c r="D31" s="663"/>
      <c r="E31" s="663"/>
      <c r="F31" s="663"/>
      <c r="G31" s="663"/>
    </row>
    <row r="32" spans="1:7" ht="23.15" customHeight="1" x14ac:dyDescent="0.35">
      <c r="A32" s="1193" t="s">
        <v>368</v>
      </c>
      <c r="B32" s="1193"/>
      <c r="C32" s="1193"/>
      <c r="D32" s="1193"/>
      <c r="E32" s="1193"/>
      <c r="F32" s="1193"/>
      <c r="G32" s="1193"/>
    </row>
    <row r="33" spans="1:7" ht="8" customHeight="1" thickBot="1" x14ac:dyDescent="0.4">
      <c r="A33" s="658"/>
      <c r="B33" s="658"/>
      <c r="C33" s="658"/>
      <c r="D33" s="658"/>
      <c r="E33" s="658"/>
      <c r="G33" s="664"/>
    </row>
    <row r="34" spans="1:7" ht="33" customHeight="1" thickBot="1" x14ac:dyDescent="0.4">
      <c r="A34" s="665"/>
      <c r="B34" s="665"/>
      <c r="C34" s="665"/>
      <c r="D34" s="666" t="s">
        <v>5</v>
      </c>
      <c r="E34" s="666" t="s">
        <v>403</v>
      </c>
      <c r="F34" s="666" t="s">
        <v>4</v>
      </c>
      <c r="G34" s="658"/>
    </row>
    <row r="35" spans="1:7" ht="33" customHeight="1" thickBot="1" x14ac:dyDescent="0.4">
      <c r="A35" s="1225" t="s">
        <v>384</v>
      </c>
      <c r="B35" s="1226"/>
      <c r="C35" s="1227"/>
      <c r="D35" s="667" t="e">
        <f>'RT03-F12 &amp;'!E64</f>
        <v>#N/A</v>
      </c>
      <c r="E35" s="668" t="e">
        <f>'RT03-F12 &amp;'!G64</f>
        <v>#N/A</v>
      </c>
      <c r="F35" s="669" t="e">
        <f>'RT03-F12 &amp;'!I64</f>
        <v>#N/A</v>
      </c>
      <c r="G35" s="658"/>
    </row>
    <row r="36" spans="1:7" ht="33" customHeight="1" thickBot="1" x14ac:dyDescent="0.4">
      <c r="A36" s="1225" t="s">
        <v>385</v>
      </c>
      <c r="B36" s="1226"/>
      <c r="C36" s="1227"/>
      <c r="D36" s="670" t="e">
        <f>'RT03-F12 &amp;'!E65</f>
        <v>#N/A</v>
      </c>
      <c r="E36" s="671" t="e">
        <f>'RT03-F12 &amp;'!G65</f>
        <v>#N/A</v>
      </c>
      <c r="F36" s="671" t="e">
        <f>'RT03-F12 &amp;'!I65</f>
        <v>#N/A</v>
      </c>
      <c r="G36" s="658"/>
    </row>
    <row r="37" spans="1:7" ht="27.75" customHeight="1" x14ac:dyDescent="0.35">
      <c r="A37" s="1206" t="s">
        <v>503</v>
      </c>
      <c r="B37" s="1206"/>
      <c r="C37" s="1206"/>
      <c r="D37" s="1206"/>
      <c r="E37" s="1206"/>
      <c r="F37" s="1206"/>
      <c r="G37" s="1206"/>
    </row>
    <row r="38" spans="1:7" ht="125" customHeight="1" x14ac:dyDescent="0.35"/>
    <row r="39" spans="1:7" ht="35" customHeight="1" x14ac:dyDescent="0.35">
      <c r="A39" s="672"/>
      <c r="B39" s="672"/>
      <c r="C39" s="672"/>
      <c r="D39" s="672"/>
    </row>
    <row r="40" spans="1:7" ht="35" customHeight="1" x14ac:dyDescent="0.35">
      <c r="A40" s="672"/>
      <c r="B40" s="672"/>
      <c r="C40" s="672"/>
      <c r="D40" s="672"/>
      <c r="E40" s="1194" t="s">
        <v>259</v>
      </c>
      <c r="F40" s="1194"/>
      <c r="G40" s="644" t="e">
        <f>G3</f>
        <v>#N/A</v>
      </c>
    </row>
    <row r="41" spans="1:7" ht="23.15" customHeight="1" x14ac:dyDescent="0.35">
      <c r="A41" s="1228" t="s">
        <v>293</v>
      </c>
      <c r="B41" s="1228"/>
      <c r="C41" s="1228"/>
      <c r="D41" s="1228"/>
      <c r="E41" s="1228"/>
      <c r="F41" s="1228"/>
      <c r="G41" s="1228"/>
    </row>
    <row r="42" spans="1:7" ht="12" customHeight="1" x14ac:dyDescent="0.35">
      <c r="A42" s="673"/>
      <c r="B42" s="673"/>
      <c r="C42" s="673"/>
      <c r="D42" s="673"/>
      <c r="E42" s="673"/>
      <c r="F42" s="673"/>
      <c r="G42" s="673"/>
    </row>
    <row r="43" spans="1:7" ht="48" customHeight="1" x14ac:dyDescent="0.35">
      <c r="A43" s="1188" t="s">
        <v>284</v>
      </c>
      <c r="B43" s="1188"/>
      <c r="C43" s="1188"/>
      <c r="D43" s="1188"/>
      <c r="E43" s="1188"/>
      <c r="F43" s="1188"/>
      <c r="G43" s="1188"/>
    </row>
    <row r="44" spans="1:7" ht="12" customHeight="1" thickBot="1" x14ac:dyDescent="0.4">
      <c r="A44" s="674"/>
      <c r="B44" s="674"/>
      <c r="C44" s="674"/>
      <c r="D44" s="674"/>
      <c r="E44" s="674"/>
      <c r="F44" s="674"/>
      <c r="G44" s="674"/>
    </row>
    <row r="45" spans="1:7" ht="30" customHeight="1" thickBot="1" x14ac:dyDescent="0.4">
      <c r="A45" s="1207" t="s">
        <v>295</v>
      </c>
      <c r="B45" s="1208"/>
      <c r="C45" s="1209"/>
      <c r="D45" s="1213" t="e">
        <f>'RT03-F12 &amp;'!I11</f>
        <v>#N/A</v>
      </c>
      <c r="E45" s="1214"/>
      <c r="F45" s="672"/>
      <c r="G45" s="672"/>
    </row>
    <row r="46" spans="1:7" ht="30" customHeight="1" thickBot="1" x14ac:dyDescent="0.4">
      <c r="A46" s="1207" t="s">
        <v>294</v>
      </c>
      <c r="B46" s="1208"/>
      <c r="C46" s="1209"/>
      <c r="D46" s="1215" t="s">
        <v>422</v>
      </c>
      <c r="E46" s="1216"/>
      <c r="F46" s="646"/>
      <c r="G46" s="646"/>
    </row>
    <row r="47" spans="1:7" ht="30" customHeight="1" thickBot="1" x14ac:dyDescent="0.4">
      <c r="A47" s="1207" t="s">
        <v>297</v>
      </c>
      <c r="B47" s="1208"/>
      <c r="C47" s="1209"/>
      <c r="D47" s="1217" t="e">
        <f>'RT03-F12 &amp;'!I12</f>
        <v>#N/A</v>
      </c>
      <c r="E47" s="1218"/>
      <c r="F47" s="646"/>
      <c r="G47" s="646"/>
    </row>
    <row r="48" spans="1:7" ht="30" customHeight="1" thickBot="1" x14ac:dyDescent="0.4">
      <c r="A48" s="1210" t="s">
        <v>184</v>
      </c>
      <c r="B48" s="1211"/>
      <c r="C48" s="1212"/>
      <c r="D48" s="1219" t="e">
        <f>'RT03-F12 &amp;'!I13</f>
        <v>#N/A</v>
      </c>
      <c r="E48" s="1220"/>
      <c r="F48" s="646"/>
      <c r="G48" s="646"/>
    </row>
    <row r="49" spans="1:7" ht="30" customHeight="1" thickBot="1" x14ac:dyDescent="0.4">
      <c r="A49" s="675" t="s">
        <v>244</v>
      </c>
      <c r="B49" s="675"/>
      <c r="C49" s="676"/>
      <c r="D49" s="1219" t="e">
        <f>'RT03-F12 &amp;'!I15</f>
        <v>#N/A</v>
      </c>
      <c r="E49" s="1220"/>
      <c r="F49" s="646"/>
      <c r="G49" s="646"/>
    </row>
    <row r="50" spans="1:7" ht="30" customHeight="1" thickBot="1" x14ac:dyDescent="0.4">
      <c r="A50" s="1207" t="s">
        <v>296</v>
      </c>
      <c r="B50" s="1208"/>
      <c r="C50" s="1209"/>
      <c r="D50" s="1229" t="e">
        <f>'RT03-F12 &amp;'!G21&amp;" g  - "&amp;'RT03-F12 &amp;'!B26&amp;" g  - "&amp;'RT03-F12 &amp;'!G22/1000&amp;" kg  - "&amp;'RT03-F12 &amp;'!G23/1000&amp;" kg  - "&amp;'RT03-F12 &amp;'!G24/1000&amp;" kg "</f>
        <v>#N/A</v>
      </c>
      <c r="E50" s="1230"/>
      <c r="F50" s="646"/>
      <c r="G50" s="646"/>
    </row>
    <row r="51" spans="1:7" ht="30" customHeight="1" x14ac:dyDescent="0.35">
      <c r="A51" s="658"/>
      <c r="B51" s="658"/>
      <c r="C51" s="658"/>
      <c r="D51" s="648"/>
      <c r="E51" s="648"/>
      <c r="F51" s="646"/>
      <c r="G51" s="646"/>
    </row>
    <row r="52" spans="1:7" ht="23.15" customHeight="1" x14ac:dyDescent="0.35">
      <c r="A52" s="1228" t="s">
        <v>285</v>
      </c>
      <c r="B52" s="1228"/>
      <c r="C52" s="1228"/>
      <c r="D52" s="1228"/>
      <c r="E52" s="1228"/>
      <c r="F52" s="1228"/>
      <c r="G52" s="1228"/>
    </row>
    <row r="53" spans="1:7" ht="12" customHeight="1" x14ac:dyDescent="0.35">
      <c r="A53" s="672"/>
      <c r="B53" s="672"/>
      <c r="C53" s="672"/>
      <c r="D53" s="672"/>
      <c r="E53" s="672"/>
      <c r="F53" s="672"/>
      <c r="G53" s="672"/>
    </row>
    <row r="54" spans="1:7" ht="20.149999999999999" customHeight="1" x14ac:dyDescent="0.35">
      <c r="A54" s="1195" t="s">
        <v>73</v>
      </c>
      <c r="B54" s="1195"/>
      <c r="C54" s="1195"/>
      <c r="D54" s="1195"/>
      <c r="E54" s="672"/>
      <c r="F54" s="677"/>
      <c r="G54" s="672"/>
    </row>
    <row r="55" spans="1:7" ht="12" customHeight="1" thickBot="1" x14ac:dyDescent="0.4">
      <c r="A55" s="672"/>
      <c r="B55" s="672"/>
      <c r="C55" s="672"/>
      <c r="D55" s="672"/>
      <c r="E55" s="646"/>
      <c r="F55" s="646"/>
      <c r="G55" s="646"/>
    </row>
    <row r="56" spans="1:7" ht="30" customHeight="1" thickBot="1" x14ac:dyDescent="0.4">
      <c r="A56" s="1221" t="s">
        <v>255</v>
      </c>
      <c r="B56" s="1222"/>
      <c r="C56" s="1223"/>
      <c r="D56" s="1224"/>
      <c r="E56" s="672"/>
      <c r="F56" s="672"/>
      <c r="G56" s="672"/>
    </row>
    <row r="57" spans="1:7" ht="30" customHeight="1" thickBot="1" x14ac:dyDescent="0.4">
      <c r="A57" s="1231" t="str">
        <f>'RT03-F12 &amp;'!C34</f>
        <v>Carga</v>
      </c>
      <c r="B57" s="1232"/>
      <c r="C57" s="678">
        <f>'RT03-F12 &amp;'!E34</f>
        <v>0</v>
      </c>
      <c r="D57" s="679" t="str">
        <f>'RT03-F12 &amp;'!D34</f>
        <v>(g)</v>
      </c>
      <c r="E57" s="672"/>
      <c r="F57" s="680" t="s">
        <v>72</v>
      </c>
      <c r="G57" s="672"/>
    </row>
    <row r="58" spans="1:7" ht="30" customHeight="1" thickBot="1" x14ac:dyDescent="0.4">
      <c r="A58" s="1231" t="str">
        <f>'RT03-F12 &amp;'!B35</f>
        <v>Posición</v>
      </c>
      <c r="B58" s="1232"/>
      <c r="C58" s="681" t="str">
        <f>'RT03-F12 &amp;'!B36</f>
        <v>Indicación (g)</v>
      </c>
      <c r="D58" s="682" t="s">
        <v>102</v>
      </c>
      <c r="E58" s="672"/>
      <c r="F58" s="672"/>
      <c r="G58" s="672"/>
    </row>
    <row r="59" spans="1:7" ht="30" customHeight="1" x14ac:dyDescent="0.35">
      <c r="A59" s="1233">
        <f>'RT03-F12 &amp;'!C35</f>
        <v>1</v>
      </c>
      <c r="B59" s="1234"/>
      <c r="C59" s="683">
        <f>'RT03-F12 &amp;'!C36</f>
        <v>0</v>
      </c>
      <c r="D59" s="684">
        <f>'RT03-F12 &amp;'!C37</f>
        <v>0</v>
      </c>
      <c r="E59" s="672"/>
      <c r="G59" s="672"/>
    </row>
    <row r="60" spans="1:7" ht="30" customHeight="1" x14ac:dyDescent="0.35">
      <c r="A60" s="1238">
        <f>'RT03-F12 &amp;'!D35</f>
        <v>2</v>
      </c>
      <c r="B60" s="1239"/>
      <c r="C60" s="685">
        <f>'RT03-F12 &amp;'!D36</f>
        <v>0</v>
      </c>
      <c r="D60" s="686">
        <f>'RT03-F12 &amp;'!D37</f>
        <v>0</v>
      </c>
      <c r="E60" s="672"/>
      <c r="F60" s="672"/>
      <c r="G60" s="672"/>
    </row>
    <row r="61" spans="1:7" ht="30" customHeight="1" x14ac:dyDescent="0.35">
      <c r="A61" s="1238">
        <f>'RT03-F12 &amp;'!E35</f>
        <v>3</v>
      </c>
      <c r="B61" s="1239"/>
      <c r="C61" s="687">
        <f>'RT03-F12 &amp;'!E36</f>
        <v>0</v>
      </c>
      <c r="D61" s="686">
        <f>'RT03-F12 &amp;'!E37</f>
        <v>0</v>
      </c>
      <c r="E61" s="672"/>
      <c r="F61" s="672"/>
      <c r="G61" s="672"/>
    </row>
    <row r="62" spans="1:7" ht="30" customHeight="1" x14ac:dyDescent="0.35">
      <c r="A62" s="1238">
        <f>'RT03-F12 &amp;'!F35</f>
        <v>4</v>
      </c>
      <c r="B62" s="1239"/>
      <c r="C62" s="687">
        <f>'RT03-F12 &amp;'!F36</f>
        <v>0</v>
      </c>
      <c r="D62" s="686">
        <f>'RT03-F12 &amp;'!F37</f>
        <v>0</v>
      </c>
      <c r="E62" s="672"/>
      <c r="F62" s="672"/>
      <c r="G62" s="672"/>
    </row>
    <row r="63" spans="1:7" ht="30" customHeight="1" thickBot="1" x14ac:dyDescent="0.4">
      <c r="A63" s="1249">
        <f>'RT03-F12 &amp;'!G35</f>
        <v>5</v>
      </c>
      <c r="B63" s="1250"/>
      <c r="C63" s="685">
        <f>'RT03-F12 &amp;'!G36</f>
        <v>0</v>
      </c>
      <c r="D63" s="688">
        <f>'RT03-F12 &amp;'!G37</f>
        <v>0</v>
      </c>
      <c r="E63" s="672"/>
      <c r="F63" s="672"/>
      <c r="G63" s="672"/>
    </row>
    <row r="64" spans="1:7" ht="30" customHeight="1" thickBot="1" x14ac:dyDescent="0.4">
      <c r="A64" s="1202" t="s">
        <v>286</v>
      </c>
      <c r="B64" s="1203"/>
      <c r="C64" s="1204"/>
      <c r="D64" s="669">
        <f>'RT03-F12 &amp;'!C39/1000</f>
        <v>0</v>
      </c>
      <c r="E64" s="672"/>
      <c r="F64" s="672"/>
      <c r="G64" s="672"/>
    </row>
    <row r="65" spans="1:7" ht="17" customHeight="1" x14ac:dyDescent="0.35">
      <c r="A65" s="805"/>
      <c r="B65" s="805"/>
      <c r="C65" s="805"/>
      <c r="D65" s="806"/>
      <c r="E65" s="803"/>
      <c r="F65" s="803"/>
      <c r="G65" s="803"/>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804"/>
      <c r="B68" s="804"/>
      <c r="C68" s="804"/>
      <c r="D68" s="804"/>
      <c r="E68" s="804"/>
      <c r="F68" s="804"/>
      <c r="G68" s="804"/>
    </row>
    <row r="69" spans="1:7" ht="125" customHeight="1" x14ac:dyDescent="0.35">
      <c r="A69" s="1240"/>
      <c r="B69" s="1240"/>
      <c r="C69" s="1240"/>
      <c r="D69" s="1240"/>
      <c r="E69" s="1240"/>
      <c r="F69" s="1240"/>
      <c r="G69" s="1240"/>
    </row>
    <row r="70" spans="1:7" ht="35" customHeight="1" x14ac:dyDescent="0.35">
      <c r="A70" s="691"/>
      <c r="B70" s="691"/>
      <c r="C70" s="691"/>
      <c r="D70" s="691"/>
      <c r="E70" s="691"/>
      <c r="F70" s="691"/>
      <c r="G70" s="691"/>
    </row>
    <row r="71" spans="1:7" ht="35" customHeight="1" x14ac:dyDescent="0.35">
      <c r="A71" s="692"/>
      <c r="B71" s="692"/>
      <c r="C71" s="692"/>
      <c r="D71" s="692"/>
      <c r="E71" s="1194" t="s">
        <v>259</v>
      </c>
      <c r="F71" s="1194"/>
      <c r="G71" s="644" t="e">
        <f>G3</f>
        <v>#N/A</v>
      </c>
    </row>
    <row r="72" spans="1:7" ht="23.15" customHeight="1" x14ac:dyDescent="0.35">
      <c r="A72" s="1195" t="s">
        <v>75</v>
      </c>
      <c r="B72" s="1195"/>
      <c r="C72" s="1195"/>
      <c r="F72" s="661"/>
      <c r="G72" s="661"/>
    </row>
    <row r="73" spans="1:7" ht="12" customHeight="1" thickBot="1" x14ac:dyDescent="0.4">
      <c r="F73" s="661"/>
    </row>
    <row r="74" spans="1:7" ht="15" customHeight="1" thickBot="1" x14ac:dyDescent="0.4">
      <c r="A74" s="1253" t="s">
        <v>256</v>
      </c>
      <c r="B74" s="1257"/>
      <c r="C74" s="1257"/>
      <c r="D74" s="1257"/>
      <c r="E74" s="1254"/>
      <c r="F74" s="661"/>
      <c r="G74" s="661"/>
    </row>
    <row r="75" spans="1:7" ht="20.149999999999999" customHeight="1" thickBot="1" x14ac:dyDescent="0.4">
      <c r="A75" s="1251" t="str">
        <f>'RT03-F12 &amp;'!A43</f>
        <v>Cargas (g)</v>
      </c>
      <c r="B75" s="1252"/>
      <c r="C75" s="678">
        <f>'RT03-F12 &amp;'!A44</f>
        <v>0</v>
      </c>
      <c r="D75" s="678">
        <f>'RT03-F12 &amp;'!A45</f>
        <v>0</v>
      </c>
      <c r="E75" s="693">
        <f>'RT03-F12 &amp;'!A46</f>
        <v>0</v>
      </c>
      <c r="F75" s="661"/>
      <c r="G75" s="661"/>
    </row>
    <row r="76" spans="1:7" ht="30" customHeight="1" thickBot="1" x14ac:dyDescent="0.4">
      <c r="A76" s="1253" t="s">
        <v>258</v>
      </c>
      <c r="B76" s="1254"/>
      <c r="C76" s="694" t="s">
        <v>74</v>
      </c>
      <c r="D76" s="694" t="s">
        <v>74</v>
      </c>
      <c r="E76" s="694" t="s">
        <v>74</v>
      </c>
      <c r="F76" s="661"/>
      <c r="G76" s="661"/>
    </row>
    <row r="77" spans="1:7" ht="20.149999999999999" customHeight="1" x14ac:dyDescent="0.35">
      <c r="A77" s="1255">
        <f>'RT03-F12 &amp;'!B43</f>
        <v>1</v>
      </c>
      <c r="B77" s="1256"/>
      <c r="C77" s="695">
        <f>'RT03-F12 &amp;'!B44</f>
        <v>0</v>
      </c>
      <c r="D77" s="695">
        <f>'RT03-F12 &amp;'!B45</f>
        <v>0</v>
      </c>
      <c r="E77" s="696">
        <f>'RT03-F12 &amp;'!B46</f>
        <v>0</v>
      </c>
      <c r="F77" s="661"/>
      <c r="G77" s="661"/>
    </row>
    <row r="78" spans="1:7" ht="20.149999999999999" customHeight="1" x14ac:dyDescent="0.35">
      <c r="A78" s="1247">
        <f>'RT03-F12 &amp;'!C43</f>
        <v>2</v>
      </c>
      <c r="B78" s="1248"/>
      <c r="C78" s="697">
        <f>'RT03-F12 &amp;'!C44</f>
        <v>0</v>
      </c>
      <c r="D78" s="697">
        <f>'RT03-F12 &amp;'!C45</f>
        <v>0</v>
      </c>
      <c r="E78" s="698">
        <f>'RT03-F12 &amp;'!C46</f>
        <v>0</v>
      </c>
      <c r="F78" s="661"/>
      <c r="G78" s="661"/>
    </row>
    <row r="79" spans="1:7" ht="20.149999999999999" customHeight="1" x14ac:dyDescent="0.35">
      <c r="A79" s="1247">
        <f>'RT03-F12 &amp;'!D43</f>
        <v>3</v>
      </c>
      <c r="B79" s="1248"/>
      <c r="C79" s="697">
        <f>'RT03-F12 &amp;'!D44</f>
        <v>0</v>
      </c>
      <c r="D79" s="697">
        <f>'RT03-F12 &amp;'!D45</f>
        <v>0</v>
      </c>
      <c r="E79" s="698">
        <f>'RT03-F12 &amp;'!D46</f>
        <v>0</v>
      </c>
      <c r="F79" s="661"/>
      <c r="G79" s="661"/>
    </row>
    <row r="80" spans="1:7" ht="20.149999999999999" customHeight="1" x14ac:dyDescent="0.35">
      <c r="A80" s="1247">
        <f>'RT03-F12 &amp;'!E43</f>
        <v>4</v>
      </c>
      <c r="B80" s="1248"/>
      <c r="C80" s="697">
        <f>'RT03-F12 &amp;'!E44</f>
        <v>0</v>
      </c>
      <c r="D80" s="697">
        <f>'RT03-F12 &amp;'!E45</f>
        <v>0</v>
      </c>
      <c r="E80" s="698">
        <f>'RT03-F12 &amp;'!E46</f>
        <v>0</v>
      </c>
      <c r="F80" s="661"/>
      <c r="G80" s="661"/>
    </row>
    <row r="81" spans="1:7" ht="20.149999999999999" customHeight="1" x14ac:dyDescent="0.35">
      <c r="A81" s="1247">
        <f>'RT03-F12 &amp;'!F43</f>
        <v>5</v>
      </c>
      <c r="B81" s="1248"/>
      <c r="C81" s="697">
        <f>'RT03-F12 &amp;'!F44</f>
        <v>0</v>
      </c>
      <c r="D81" s="697">
        <f>'RT03-F12 &amp;'!F45</f>
        <v>0</v>
      </c>
      <c r="E81" s="698">
        <f>'RT03-F12 &amp;'!F46</f>
        <v>0</v>
      </c>
      <c r="F81" s="661"/>
      <c r="G81" s="661"/>
    </row>
    <row r="82" spans="1:7" ht="20.149999999999999" customHeight="1" x14ac:dyDescent="0.35">
      <c r="A82" s="1247">
        <f>'RT03-F12 &amp;'!G43</f>
        <v>6</v>
      </c>
      <c r="B82" s="1248"/>
      <c r="C82" s="697">
        <f>'RT03-F12 &amp;'!G44</f>
        <v>0</v>
      </c>
      <c r="D82" s="697">
        <f>'RT03-F12 &amp;'!G45</f>
        <v>0</v>
      </c>
      <c r="E82" s="698">
        <f>'RT03-F12 &amp;'!G46</f>
        <v>0</v>
      </c>
      <c r="F82" s="661"/>
      <c r="G82" s="661"/>
    </row>
    <row r="83" spans="1:7" ht="20.149999999999999" customHeight="1" x14ac:dyDescent="0.35">
      <c r="A83" s="1247">
        <f>'RT03-F12 &amp;'!H43</f>
        <v>7</v>
      </c>
      <c r="B83" s="1248"/>
      <c r="C83" s="697">
        <f>'RT03-F12 &amp;'!H44</f>
        <v>0</v>
      </c>
      <c r="D83" s="697">
        <f>'RT03-F12 &amp;'!H45</f>
        <v>0</v>
      </c>
      <c r="E83" s="698">
        <f>'RT03-F12 &amp;'!H46</f>
        <v>0</v>
      </c>
      <c r="F83" s="661"/>
      <c r="G83" s="661"/>
    </row>
    <row r="84" spans="1:7" ht="20.149999999999999" customHeight="1" x14ac:dyDescent="0.35">
      <c r="A84" s="1247">
        <f>'RT03-F12 &amp;'!I43</f>
        <v>8</v>
      </c>
      <c r="B84" s="1248"/>
      <c r="C84" s="697">
        <f>'RT03-F12 &amp;'!I44</f>
        <v>0</v>
      </c>
      <c r="D84" s="697">
        <f>'RT03-F12 &amp;'!I45</f>
        <v>0</v>
      </c>
      <c r="E84" s="698">
        <f>'RT03-F12 &amp;'!I46</f>
        <v>0</v>
      </c>
      <c r="F84" s="661"/>
      <c r="G84" s="661"/>
    </row>
    <row r="85" spans="1:7" ht="20.149999999999999" customHeight="1" x14ac:dyDescent="0.35">
      <c r="A85" s="1247">
        <f>'RT03-F12 &amp;'!J43</f>
        <v>9</v>
      </c>
      <c r="B85" s="1248"/>
      <c r="C85" s="697">
        <f>'RT03-F12 &amp;'!J44</f>
        <v>0</v>
      </c>
      <c r="D85" s="697">
        <f>'RT03-F12 &amp;'!J45</f>
        <v>0</v>
      </c>
      <c r="E85" s="698">
        <f>'RT03-F12 &amp;'!J46</f>
        <v>0</v>
      </c>
      <c r="F85" s="661"/>
      <c r="G85" s="661"/>
    </row>
    <row r="86" spans="1:7" ht="20.149999999999999" customHeight="1" thickBot="1" x14ac:dyDescent="0.4">
      <c r="A86" s="1265">
        <f>'RT03-F12 &amp;'!K43</f>
        <v>10</v>
      </c>
      <c r="B86" s="1266"/>
      <c r="C86" s="699">
        <f>'RT03-F12 &amp;'!K44</f>
        <v>0</v>
      </c>
      <c r="D86" s="699">
        <f>'RT03-F12 &amp;'!K45</f>
        <v>0</v>
      </c>
      <c r="E86" s="700">
        <f>'RT03-F12 &amp;'!K46</f>
        <v>0</v>
      </c>
      <c r="F86" s="672"/>
      <c r="G86" s="672"/>
    </row>
    <row r="87" spans="1:7" ht="12" customHeight="1" x14ac:dyDescent="0.35">
      <c r="A87" s="646"/>
      <c r="B87" s="646"/>
      <c r="C87" s="646"/>
      <c r="D87" s="646"/>
      <c r="E87" s="672"/>
      <c r="F87" s="672"/>
      <c r="G87" s="672"/>
    </row>
    <row r="88" spans="1:7" ht="48" customHeight="1" x14ac:dyDescent="0.35">
      <c r="A88" s="1269" t="s">
        <v>253</v>
      </c>
      <c r="B88" s="1269"/>
      <c r="C88" s="1269"/>
      <c r="D88" s="1269"/>
      <c r="E88" s="1269"/>
      <c r="F88" s="1269"/>
      <c r="G88" s="1269"/>
    </row>
    <row r="89" spans="1:7" ht="12" customHeight="1" x14ac:dyDescent="0.35">
      <c r="F89" s="672"/>
      <c r="G89" s="672"/>
    </row>
    <row r="90" spans="1:7" ht="23.15" customHeight="1" x14ac:dyDescent="0.35">
      <c r="A90" s="1195" t="s">
        <v>257</v>
      </c>
      <c r="B90" s="1195"/>
      <c r="C90" s="1195"/>
      <c r="D90" s="1195"/>
      <c r="E90" s="1195"/>
      <c r="F90" s="646"/>
      <c r="G90" s="646"/>
    </row>
    <row r="91" spans="1:7" ht="12" customHeight="1" thickBot="1" x14ac:dyDescent="0.4">
      <c r="E91" s="701"/>
    </row>
    <row r="92" spans="1:7" ht="31" customHeight="1" thickBot="1" x14ac:dyDescent="0.4">
      <c r="A92" s="1277" t="s">
        <v>252</v>
      </c>
      <c r="B92" s="1278"/>
      <c r="C92" s="1278"/>
      <c r="D92" s="1279"/>
      <c r="E92" s="811" t="s">
        <v>371</v>
      </c>
      <c r="F92" s="811" t="s">
        <v>389</v>
      </c>
      <c r="G92" s="811" t="s">
        <v>390</v>
      </c>
    </row>
    <row r="93" spans="1:7" ht="30" customHeight="1" thickBot="1" x14ac:dyDescent="0.4">
      <c r="A93" s="1200" t="s">
        <v>371</v>
      </c>
      <c r="B93" s="1200"/>
      <c r="C93" s="702" t="s">
        <v>273</v>
      </c>
      <c r="D93" s="817" t="s">
        <v>444</v>
      </c>
      <c r="E93" s="811" t="e">
        <f>'RT03-F12 &amp;'!G21</f>
        <v>#N/A</v>
      </c>
      <c r="F93" s="811">
        <v>1</v>
      </c>
      <c r="G93" s="811">
        <v>-1</v>
      </c>
    </row>
    <row r="94" spans="1:7" ht="20.149999999999999" customHeight="1" x14ac:dyDescent="0.35">
      <c r="A94" s="1267" t="e">
        <f>'RT03-F12 &amp;'!K93</f>
        <v>#N/A</v>
      </c>
      <c r="B94" s="1268"/>
      <c r="C94" s="703">
        <f>'RT03-F12 &amp;'!C55</f>
        <v>0</v>
      </c>
      <c r="D94" s="704" t="e">
        <f>'RT03-F12 &amp;'!D55</f>
        <v>#N/A</v>
      </c>
      <c r="E94" s="812" t="e">
        <f>'RT03-F12 &amp;'!G22</f>
        <v>#N/A</v>
      </c>
      <c r="F94" s="811">
        <v>1</v>
      </c>
      <c r="G94" s="811">
        <v>-1</v>
      </c>
    </row>
    <row r="95" spans="1:7" ht="20.149999999999999" customHeight="1" x14ac:dyDescent="0.35">
      <c r="A95" s="1184" t="e">
        <f>'RT03-F12 &amp;'!K94</f>
        <v>#N/A</v>
      </c>
      <c r="B95" s="1185"/>
      <c r="C95" s="697">
        <f>'RT03-F12 &amp;'!C56</f>
        <v>0</v>
      </c>
      <c r="D95" s="705" t="e">
        <f>'RT03-F12 &amp;'!D56</f>
        <v>#N/A</v>
      </c>
      <c r="E95" s="812" t="e">
        <f>'RT03-F12 &amp;'!G23</f>
        <v>#N/A</v>
      </c>
      <c r="F95" s="811">
        <v>1</v>
      </c>
      <c r="G95" s="811">
        <v>-1</v>
      </c>
    </row>
    <row r="96" spans="1:7" ht="20.149999999999999" customHeight="1" x14ac:dyDescent="0.35">
      <c r="A96" s="1184" t="e">
        <f>'RT03-F12 &amp;'!K95</f>
        <v>#N/A</v>
      </c>
      <c r="B96" s="1185"/>
      <c r="C96" s="697">
        <f>'RT03-F12 &amp;'!C57</f>
        <v>0</v>
      </c>
      <c r="D96" s="705" t="e">
        <f>'RT03-F12 &amp;'!D57</f>
        <v>#N/A</v>
      </c>
      <c r="E96" s="812" t="e">
        <f>'RT03-F12 &amp;'!G24</f>
        <v>#N/A</v>
      </c>
      <c r="F96" s="811">
        <v>1</v>
      </c>
      <c r="G96" s="811">
        <v>-1</v>
      </c>
    </row>
    <row r="97" spans="1:7" ht="20.149999999999999" customHeight="1" x14ac:dyDescent="0.35">
      <c r="A97" s="1184" t="e">
        <f>'RT03-F12 &amp;'!K96</f>
        <v>#N/A</v>
      </c>
      <c r="B97" s="1185"/>
      <c r="C97" s="697">
        <f>'RT03-F12 &amp;'!C58</f>
        <v>0</v>
      </c>
      <c r="D97" s="706" t="e">
        <f>'RT03-F12 &amp;'!D58</f>
        <v>#N/A</v>
      </c>
      <c r="E97" s="812" t="e">
        <f>'RT03-F12 &amp;'!G24</f>
        <v>#N/A</v>
      </c>
      <c r="F97" s="811">
        <v>2</v>
      </c>
      <c r="G97" s="811">
        <v>-2</v>
      </c>
    </row>
    <row r="98" spans="1:7" ht="20.149999999999999" customHeight="1" thickBot="1" x14ac:dyDescent="0.4">
      <c r="A98" s="1198" t="e">
        <f>'RT03-F12 &amp;'!K97</f>
        <v>#N/A</v>
      </c>
      <c r="B98" s="1199"/>
      <c r="C98" s="699">
        <f>'RT03-F12 &amp;'!C59</f>
        <v>0</v>
      </c>
      <c r="D98" s="707" t="e">
        <f>'RT03-F12 &amp;'!D59</f>
        <v>#N/A</v>
      </c>
      <c r="E98" s="812" t="e">
        <f>'RT03-F12 &amp;'!G25</f>
        <v>#N/A</v>
      </c>
      <c r="F98" s="811">
        <v>2</v>
      </c>
      <c r="G98" s="811">
        <v>-2</v>
      </c>
    </row>
    <row r="99" spans="1:7" ht="16" customHeight="1" thickBot="1" x14ac:dyDescent="0.4">
      <c r="A99" s="708"/>
      <c r="B99" s="708"/>
      <c r="C99" s="708"/>
      <c r="D99" s="708"/>
      <c r="E99" s="646"/>
      <c r="F99" s="646"/>
      <c r="G99" s="708"/>
    </row>
    <row r="100" spans="1:7" ht="18.75" customHeight="1" thickBot="1" x14ac:dyDescent="0.4">
      <c r="A100" s="1189" t="s">
        <v>254</v>
      </c>
      <c r="B100" s="1190"/>
      <c r="C100" s="1191"/>
      <c r="D100" s="1192"/>
      <c r="E100" s="709" t="s">
        <v>330</v>
      </c>
      <c r="F100" s="646"/>
      <c r="G100" s="708"/>
    </row>
    <row r="101" spans="1:7" ht="30" customHeight="1" thickBot="1" x14ac:dyDescent="0.4">
      <c r="A101" s="1200" t="s">
        <v>371</v>
      </c>
      <c r="B101" s="1200"/>
      <c r="C101" s="710" t="s">
        <v>214</v>
      </c>
      <c r="D101" s="710" t="s">
        <v>292</v>
      </c>
      <c r="E101" s="710" t="s">
        <v>331</v>
      </c>
      <c r="F101" s="646"/>
      <c r="G101" s="708"/>
    </row>
    <row r="102" spans="1:7" ht="20.149999999999999" customHeight="1" x14ac:dyDescent="0.35">
      <c r="A102" s="1270" t="e">
        <f>'RT03-F12 &amp;'!K93</f>
        <v>#N/A</v>
      </c>
      <c r="B102" s="1271"/>
      <c r="C102" s="711" t="e">
        <f>'RT03-F12 &amp;'!M93</f>
        <v>#DIV/0!</v>
      </c>
      <c r="D102" s="712" t="e">
        <f>IF('RT03-F12 &amp;'!O93&lt;=('RT03-F12 &amp;'!Q93),' CMC &amp;'!C21,'RT03-F12 &amp;'!O93)</f>
        <v>#N/A</v>
      </c>
      <c r="E102" s="713" t="e">
        <f>'Pc &amp; '!N7</f>
        <v>#DIV/0!</v>
      </c>
      <c r="F102" s="714"/>
      <c r="G102" s="715"/>
    </row>
    <row r="103" spans="1:7" ht="20.149999999999999" customHeight="1" x14ac:dyDescent="0.35">
      <c r="A103" s="1272" t="e">
        <f>'RT03-F12 &amp;'!K94</f>
        <v>#N/A</v>
      </c>
      <c r="B103" s="1273"/>
      <c r="C103" s="716" t="e">
        <f>'RT03-F12 &amp;'!M94</f>
        <v>#DIV/0!</v>
      </c>
      <c r="D103" s="712" t="e">
        <f>IF('RT03-F12 &amp;'!O94&lt;=('RT03-F12 &amp;'!Q94),' CMC &amp;'!C21,'RT03-F12 &amp;'!O94)</f>
        <v>#N/A</v>
      </c>
      <c r="E103" s="713" t="e">
        <f>'Pc &amp; '!N8</f>
        <v>#DIV/0!</v>
      </c>
      <c r="F103" s="714"/>
      <c r="G103" s="689"/>
    </row>
    <row r="104" spans="1:7" ht="20.149999999999999" customHeight="1" x14ac:dyDescent="0.35">
      <c r="A104" s="1272" t="e">
        <f>'RT03-F12 &amp;'!K95</f>
        <v>#N/A</v>
      </c>
      <c r="B104" s="1273"/>
      <c r="C104" s="716" t="e">
        <f>'RT03-F12 &amp;'!M95</f>
        <v>#DIV/0!</v>
      </c>
      <c r="D104" s="747" t="e">
        <f>IF('RT03-F12 &amp;'!O95&lt;=('RT03-F12 &amp;'!Q95),' CMC &amp;'!C21,'RT03-F12 &amp;'!O95)</f>
        <v>#N/A</v>
      </c>
      <c r="E104" s="713" t="e">
        <f>'Pc &amp; '!N9</f>
        <v>#DIV/0!</v>
      </c>
      <c r="F104" s="714"/>
      <c r="G104" s="689"/>
    </row>
    <row r="105" spans="1:7" ht="20.149999999999999" customHeight="1" x14ac:dyDescent="0.35">
      <c r="A105" s="1272" t="e">
        <f>'RT03-F12 &amp;'!K96</f>
        <v>#N/A</v>
      </c>
      <c r="B105" s="1273"/>
      <c r="C105" s="717" t="e">
        <f>'RT03-F12 &amp;'!M96</f>
        <v>#DIV/0!</v>
      </c>
      <c r="D105" s="747" t="e">
        <f>IF('RT03-F12 &amp;'!O96&lt;=('RT03-F12 &amp;'!Q96),' CMC &amp;'!C21,'RT03-F12 &amp;'!O96)</f>
        <v>#N/A</v>
      </c>
      <c r="E105" s="713" t="e">
        <f>'Pc &amp; '!N10</f>
        <v>#DIV/0!</v>
      </c>
      <c r="F105" s="714"/>
      <c r="G105" s="689"/>
    </row>
    <row r="106" spans="1:7" ht="20.149999999999999" customHeight="1" thickBot="1" x14ac:dyDescent="0.4">
      <c r="A106" s="1274" t="e">
        <f>'RT03-F12 &amp;'!K97</f>
        <v>#N/A</v>
      </c>
      <c r="B106" s="1275"/>
      <c r="C106" s="718" t="e">
        <f>'RT03-F12 &amp;'!M97</f>
        <v>#DIV/0!</v>
      </c>
      <c r="D106" s="748" t="e">
        <f>IF('RT03-F12 &amp;'!O97&lt;=('RT03-F12 &amp;'!Q97),' CMC &amp;'!C21,'RT03-F12 &amp;'!O97)</f>
        <v>#N/A</v>
      </c>
      <c r="E106" s="713" t="e">
        <f>'Pc &amp; '!N11</f>
        <v>#DIV/0!</v>
      </c>
      <c r="F106" s="719"/>
      <c r="G106" s="689"/>
    </row>
    <row r="107" spans="1:7" ht="20.149999999999999" customHeight="1" x14ac:dyDescent="0.35">
      <c r="A107" s="807"/>
      <c r="B107" s="807"/>
      <c r="C107" s="808"/>
      <c r="D107" s="808"/>
      <c r="E107" s="809"/>
      <c r="F107" s="719"/>
      <c r="G107" s="689"/>
    </row>
    <row r="108" spans="1:7" ht="125" customHeight="1" x14ac:dyDescent="0.35">
      <c r="A108" s="807"/>
      <c r="B108" s="807"/>
      <c r="C108" s="808"/>
      <c r="D108" s="808"/>
      <c r="E108" s="809"/>
      <c r="F108" s="719"/>
      <c r="G108" s="689"/>
    </row>
    <row r="109" spans="1:7" ht="35" customHeight="1" x14ac:dyDescent="0.35">
      <c r="A109" s="807"/>
      <c r="B109" s="807"/>
      <c r="C109" s="808"/>
      <c r="D109" s="808"/>
      <c r="E109" s="809"/>
      <c r="F109" s="719"/>
      <c r="G109" s="689"/>
    </row>
    <row r="110" spans="1:7" ht="35" customHeight="1" thickBot="1" x14ac:dyDescent="0.4">
      <c r="A110" s="720"/>
      <c r="B110" s="720"/>
      <c r="C110" s="690"/>
      <c r="D110" s="690"/>
      <c r="E110" s="1194" t="s">
        <v>259</v>
      </c>
      <c r="F110" s="1194"/>
      <c r="G110" s="644" t="e">
        <f>G3</f>
        <v>#N/A</v>
      </c>
    </row>
    <row r="111" spans="1:7" ht="24" customHeight="1" thickBot="1" x14ac:dyDescent="0.4">
      <c r="A111" s="1259" t="s">
        <v>327</v>
      </c>
      <c r="B111" s="1260"/>
      <c r="C111" s="722" t="s">
        <v>328</v>
      </c>
      <c r="D111" s="723" t="s">
        <v>460</v>
      </c>
      <c r="E111" s="661"/>
      <c r="F111" s="721"/>
      <c r="G111" s="661"/>
    </row>
    <row r="112" spans="1:7" ht="24" customHeight="1" x14ac:dyDescent="0.35">
      <c r="A112" s="1261" t="s">
        <v>329</v>
      </c>
      <c r="B112" s="1262"/>
      <c r="C112" s="545" t="s">
        <v>466</v>
      </c>
      <c r="D112" s="546">
        <v>1</v>
      </c>
      <c r="E112" s="661"/>
      <c r="F112" s="721"/>
      <c r="G112" s="661"/>
    </row>
    <row r="113" spans="1:7" ht="24" customHeight="1" thickBot="1" x14ac:dyDescent="0.4">
      <c r="A113" s="1263" t="s">
        <v>336</v>
      </c>
      <c r="B113" s="1264"/>
      <c r="C113" s="549" t="s">
        <v>467</v>
      </c>
      <c r="D113" s="550">
        <v>2</v>
      </c>
      <c r="E113" s="661"/>
      <c r="F113" s="721"/>
      <c r="G113" s="661"/>
    </row>
    <row r="114" spans="1:7" ht="28" customHeight="1" x14ac:dyDescent="0.35">
      <c r="A114" s="661"/>
      <c r="B114" s="661"/>
      <c r="C114" s="661"/>
      <c r="D114" s="661"/>
      <c r="E114" s="661"/>
      <c r="F114" s="721"/>
      <c r="G114" s="661"/>
    </row>
    <row r="115" spans="1:7" ht="15" customHeight="1" x14ac:dyDescent="0.35">
      <c r="A115" s="708"/>
      <c r="B115" s="708"/>
      <c r="C115" s="690"/>
      <c r="D115" s="690"/>
      <c r="E115" s="646"/>
      <c r="F115" s="646"/>
      <c r="G115" s="646"/>
    </row>
    <row r="116" spans="1:7" ht="15" customHeight="1" x14ac:dyDescent="0.35">
      <c r="A116" s="661"/>
      <c r="B116" s="661"/>
      <c r="C116" s="726"/>
      <c r="D116" s="661"/>
      <c r="E116" s="661"/>
      <c r="F116" s="661"/>
      <c r="G116" s="661"/>
    </row>
    <row r="117" spans="1:7" ht="15" customHeight="1" x14ac:dyDescent="0.35">
      <c r="A117" s="661"/>
      <c r="B117" s="661"/>
      <c r="C117" s="661"/>
      <c r="D117" s="661"/>
      <c r="E117" s="661"/>
      <c r="F117" s="661"/>
      <c r="G117" s="661"/>
    </row>
    <row r="118" spans="1:7" ht="15" customHeight="1" x14ac:dyDescent="0.35">
      <c r="A118" s="661"/>
      <c r="B118" s="661"/>
      <c r="C118" s="661"/>
      <c r="D118" s="661"/>
      <c r="E118" s="661"/>
      <c r="F118" s="661"/>
      <c r="G118" s="661"/>
    </row>
    <row r="119" spans="1:7" ht="15" customHeight="1" x14ac:dyDescent="0.35">
      <c r="A119" s="661"/>
      <c r="B119" s="661"/>
      <c r="C119" s="661"/>
      <c r="D119" s="661"/>
      <c r="E119" s="661"/>
      <c r="F119" s="661"/>
      <c r="G119" s="661"/>
    </row>
    <row r="120" spans="1:7" ht="15" customHeight="1" x14ac:dyDescent="0.35">
      <c r="A120" s="661"/>
      <c r="B120" s="661"/>
      <c r="C120" s="661"/>
      <c r="D120" s="661"/>
      <c r="E120" s="661"/>
      <c r="F120" s="661"/>
      <c r="G120" s="661"/>
    </row>
    <row r="121" spans="1:7" ht="15" customHeight="1" x14ac:dyDescent="0.35">
      <c r="A121" s="661"/>
      <c r="B121" s="661"/>
      <c r="C121" s="661"/>
      <c r="D121" s="661"/>
      <c r="E121" s="661"/>
      <c r="F121" s="661"/>
      <c r="G121" s="661"/>
    </row>
    <row r="122" spans="1:7" ht="15" customHeight="1" x14ac:dyDescent="0.35">
      <c r="A122" s="661"/>
      <c r="B122" s="661"/>
      <c r="C122" s="661"/>
      <c r="D122" s="661"/>
      <c r="E122" s="661"/>
      <c r="F122" s="661"/>
      <c r="G122" s="661"/>
    </row>
    <row r="123" spans="1:7" ht="15" customHeight="1" x14ac:dyDescent="0.35">
      <c r="A123" s="661"/>
      <c r="B123" s="661"/>
      <c r="C123" s="661"/>
      <c r="D123" s="661"/>
      <c r="E123" s="661"/>
      <c r="F123" s="661"/>
      <c r="G123" s="661"/>
    </row>
    <row r="124" spans="1:7" ht="15" customHeight="1" x14ac:dyDescent="0.35">
      <c r="A124" s="661"/>
      <c r="B124" s="661"/>
      <c r="C124" s="661"/>
      <c r="D124" s="661"/>
      <c r="E124" s="661"/>
      <c r="F124" s="661"/>
      <c r="G124" s="661"/>
    </row>
    <row r="125" spans="1:7" ht="15" customHeight="1" x14ac:dyDescent="0.35">
      <c r="A125" s="661"/>
      <c r="B125" s="661"/>
      <c r="C125" s="661"/>
      <c r="D125" s="661"/>
      <c r="E125" s="661"/>
      <c r="F125" s="661"/>
      <c r="G125" s="661"/>
    </row>
    <row r="126" spans="1:7" ht="15" customHeight="1" x14ac:dyDescent="0.35">
      <c r="A126" s="661"/>
      <c r="B126" s="661"/>
      <c r="C126" s="661"/>
      <c r="D126" s="661"/>
      <c r="E126" s="661"/>
      <c r="F126" s="661"/>
      <c r="G126" s="661"/>
    </row>
    <row r="127" spans="1:7" ht="15" customHeight="1" x14ac:dyDescent="0.35">
      <c r="A127" s="661"/>
      <c r="B127" s="661"/>
      <c r="C127" s="661"/>
      <c r="D127" s="661"/>
      <c r="E127" s="661"/>
      <c r="F127" s="661"/>
      <c r="G127" s="661"/>
    </row>
    <row r="128" spans="1:7" ht="15" customHeight="1" x14ac:dyDescent="0.35">
      <c r="E128" s="646"/>
      <c r="F128" s="646"/>
      <c r="G128" s="646"/>
    </row>
    <row r="129" spans="1:8" ht="15" customHeight="1" x14ac:dyDescent="0.35">
      <c r="A129" s="646"/>
      <c r="B129" s="646"/>
      <c r="C129" s="646"/>
      <c r="D129" s="646"/>
      <c r="E129" s="646"/>
      <c r="F129" s="646"/>
      <c r="G129" s="646"/>
    </row>
    <row r="130" spans="1:8" ht="32" customHeight="1" x14ac:dyDescent="0.35">
      <c r="A130" s="646"/>
      <c r="B130" s="646"/>
      <c r="C130" s="646"/>
      <c r="D130" s="646"/>
      <c r="E130" s="646"/>
      <c r="F130" s="646"/>
      <c r="G130" s="646"/>
    </row>
    <row r="131" spans="1:8" ht="70" customHeight="1" x14ac:dyDescent="0.35">
      <c r="A131" s="1196" t="s">
        <v>492</v>
      </c>
      <c r="B131" s="1196"/>
      <c r="C131" s="1196"/>
      <c r="D131" s="1196"/>
      <c r="E131" s="1196"/>
      <c r="F131" s="1196"/>
      <c r="G131" s="1196"/>
    </row>
    <row r="132" spans="1:8" ht="23.15" customHeight="1" x14ac:dyDescent="0.35">
      <c r="A132" s="727"/>
      <c r="B132" s="727"/>
      <c r="C132" s="813"/>
      <c r="D132" s="813"/>
      <c r="E132" s="813"/>
      <c r="F132" s="813"/>
      <c r="G132" s="727"/>
    </row>
    <row r="133" spans="1:8" ht="21" customHeight="1" x14ac:dyDescent="0.35">
      <c r="A133" s="728"/>
      <c r="B133" s="728"/>
      <c r="C133" s="814"/>
      <c r="D133" s="814"/>
      <c r="E133" s="814"/>
      <c r="F133" s="814"/>
      <c r="G133" s="728"/>
    </row>
    <row r="134" spans="1:8" ht="21" customHeight="1" x14ac:dyDescent="0.35">
      <c r="A134" s="728"/>
      <c r="B134" s="728"/>
      <c r="C134" s="814"/>
      <c r="D134" s="814"/>
      <c r="E134" s="814"/>
      <c r="F134" s="814"/>
      <c r="G134" s="728"/>
    </row>
    <row r="135" spans="1:8" ht="20.149999999999999" customHeight="1" x14ac:dyDescent="0.35">
      <c r="A135" s="1195"/>
      <c r="B135" s="1195"/>
      <c r="C135" s="1195"/>
      <c r="D135" s="1195"/>
      <c r="E135" s="646"/>
      <c r="F135" s="646"/>
      <c r="G135" s="646"/>
    </row>
    <row r="136" spans="1:8" ht="20.149999999999999" customHeight="1" x14ac:dyDescent="0.35">
      <c r="A136" s="1193" t="s">
        <v>287</v>
      </c>
      <c r="B136" s="1193"/>
      <c r="C136" s="1193"/>
      <c r="D136" s="1193"/>
      <c r="E136" s="1193"/>
      <c r="F136" s="1193"/>
      <c r="G136" s="646"/>
    </row>
    <row r="137" spans="1:8" ht="12" customHeight="1" x14ac:dyDescent="0.35">
      <c r="A137" s="729"/>
      <c r="B137" s="729"/>
      <c r="C137" s="660"/>
      <c r="D137" s="660"/>
      <c r="E137" s="660"/>
      <c r="F137" s="660"/>
      <c r="G137" s="646"/>
    </row>
    <row r="138" spans="1:8" s="730" customFormat="1" ht="58" customHeight="1" x14ac:dyDescent="0.35">
      <c r="A138" s="1186" t="s">
        <v>394</v>
      </c>
      <c r="B138" s="1186"/>
      <c r="C138" s="1186"/>
      <c r="D138" s="1186"/>
      <c r="E138" s="1186"/>
      <c r="F138" s="1186"/>
      <c r="G138" s="1186"/>
    </row>
    <row r="139" spans="1:8" ht="24.75" customHeight="1" x14ac:dyDescent="0.35">
      <c r="A139" s="731"/>
      <c r="B139" s="731"/>
      <c r="C139" s="731"/>
      <c r="D139" s="731"/>
      <c r="E139" s="731"/>
      <c r="F139" s="731"/>
      <c r="G139" s="731"/>
    </row>
    <row r="140" spans="1:8" ht="20.149999999999999" customHeight="1" x14ac:dyDescent="0.35">
      <c r="A140" s="665"/>
      <c r="B140" s="665"/>
      <c r="C140" s="665"/>
      <c r="D140" s="665"/>
      <c r="E140" s="665"/>
      <c r="F140" s="665"/>
      <c r="G140" s="665"/>
      <c r="H140" s="732"/>
    </row>
    <row r="141" spans="1:8" ht="18" customHeight="1" x14ac:dyDescent="0.35">
      <c r="A141" s="665"/>
      <c r="B141" s="665"/>
      <c r="C141" s="665"/>
      <c r="D141" s="665"/>
      <c r="E141" s="665"/>
      <c r="F141" s="648"/>
      <c r="G141" s="733"/>
      <c r="H141" s="732"/>
    </row>
    <row r="142" spans="1:8" ht="18" customHeight="1" x14ac:dyDescent="0.35">
      <c r="A142" s="734"/>
      <c r="B142" s="734"/>
      <c r="C142" s="734"/>
      <c r="D142" s="734"/>
      <c r="E142" s="734"/>
      <c r="F142" s="735"/>
      <c r="G142" s="736"/>
      <c r="H142" s="732"/>
    </row>
    <row r="143" spans="1:8" ht="125" customHeight="1" x14ac:dyDescent="0.35">
      <c r="A143" s="1197"/>
      <c r="B143" s="1197"/>
      <c r="C143" s="1197"/>
      <c r="D143" s="1197"/>
      <c r="E143" s="1197"/>
      <c r="F143" s="1197"/>
      <c r="G143" s="1197"/>
    </row>
    <row r="144" spans="1:8" ht="35" customHeight="1" x14ac:dyDescent="0.35"/>
    <row r="145" spans="1:8" ht="35" customHeight="1" x14ac:dyDescent="0.35">
      <c r="E145" s="1194" t="s">
        <v>259</v>
      </c>
      <c r="F145" s="1194"/>
      <c r="G145" s="644" t="e">
        <f>G3</f>
        <v>#N/A</v>
      </c>
    </row>
    <row r="146" spans="1:8" ht="23.15" customHeight="1" x14ac:dyDescent="0.35">
      <c r="E146" s="724"/>
      <c r="F146" s="724"/>
      <c r="G146" s="725"/>
    </row>
    <row r="147" spans="1:8" ht="23.15" customHeight="1" x14ac:dyDescent="0.35">
      <c r="A147" s="1193" t="s">
        <v>288</v>
      </c>
      <c r="B147" s="1193"/>
      <c r="C147" s="1193"/>
      <c r="D147" s="1193"/>
      <c r="E147" s="737"/>
      <c r="F147" s="738"/>
      <c r="G147" s="738"/>
    </row>
    <row r="148" spans="1:8" ht="23.15" customHeight="1" x14ac:dyDescent="0.35">
      <c r="A148" s="1634"/>
      <c r="B148" s="1634"/>
      <c r="C148" s="1634"/>
      <c r="D148" s="1634"/>
      <c r="E148" s="1634"/>
      <c r="F148" s="1634"/>
      <c r="G148" s="1634"/>
    </row>
    <row r="149" spans="1:8" s="739" customFormat="1" ht="33" customHeight="1" x14ac:dyDescent="0.35">
      <c r="A149" s="815" t="s">
        <v>426</v>
      </c>
      <c r="B149" s="1187" t="s">
        <v>427</v>
      </c>
      <c r="C149" s="1187"/>
      <c r="D149" s="1187"/>
      <c r="E149" s="1187"/>
      <c r="F149" s="1187"/>
      <c r="G149" s="1187"/>
    </row>
    <row r="150" spans="1:8" s="739" customFormat="1" ht="33" customHeight="1" x14ac:dyDescent="0.35">
      <c r="A150" s="816" t="s">
        <v>426</v>
      </c>
      <c r="B150" s="1188" t="s">
        <v>428</v>
      </c>
      <c r="C150" s="1188"/>
      <c r="D150" s="1188"/>
      <c r="E150" s="1188"/>
      <c r="F150" s="1188"/>
      <c r="G150" s="1188"/>
      <c r="H150" s="740"/>
    </row>
    <row r="151" spans="1:8" s="739" customFormat="1" ht="33" customHeight="1" x14ac:dyDescent="0.35">
      <c r="A151" s="1635" t="s">
        <v>429</v>
      </c>
      <c r="B151" s="1188" t="s">
        <v>430</v>
      </c>
      <c r="C151" s="1188"/>
      <c r="D151" s="1188"/>
      <c r="E151" s="1188"/>
      <c r="F151" s="1188"/>
      <c r="G151" s="1188"/>
      <c r="H151" s="740"/>
    </row>
    <row r="152" spans="1:8" s="739" customFormat="1" ht="23" customHeight="1" x14ac:dyDescent="0.35">
      <c r="A152" s="1635" t="s">
        <v>426</v>
      </c>
      <c r="B152" s="1188" t="s">
        <v>431</v>
      </c>
      <c r="C152" s="1188"/>
      <c r="D152" s="1188"/>
      <c r="E152" s="1188"/>
      <c r="F152" s="1188"/>
      <c r="G152" s="1188"/>
    </row>
    <row r="153" spans="1:8" s="739" customFormat="1" ht="23" customHeight="1" x14ac:dyDescent="0.35">
      <c r="A153" s="1635" t="s">
        <v>426</v>
      </c>
      <c r="B153" s="1188" t="s">
        <v>432</v>
      </c>
      <c r="C153" s="1188"/>
      <c r="D153" s="1188"/>
      <c r="E153" s="1188"/>
      <c r="F153" s="1188"/>
      <c r="G153" s="1188"/>
    </row>
    <row r="154" spans="1:8" s="740" customFormat="1" ht="33" customHeight="1" x14ac:dyDescent="0.35">
      <c r="A154" s="1635" t="s">
        <v>426</v>
      </c>
      <c r="B154" s="1188" t="s">
        <v>433</v>
      </c>
      <c r="C154" s="1188"/>
      <c r="D154" s="1188"/>
      <c r="E154" s="1188"/>
      <c r="F154" s="1188"/>
      <c r="G154" s="1188"/>
    </row>
    <row r="155" spans="1:8" s="739" customFormat="1" ht="23" customHeight="1" x14ac:dyDescent="0.35">
      <c r="A155" s="1636" t="s">
        <v>426</v>
      </c>
      <c r="B155" s="1187" t="s">
        <v>434</v>
      </c>
      <c r="C155" s="1187"/>
      <c r="D155" s="1187"/>
      <c r="E155" s="1187"/>
      <c r="F155" s="1187"/>
      <c r="G155" s="1187"/>
    </row>
    <row r="156" spans="1:8" s="739" customFormat="1" ht="23" customHeight="1" x14ac:dyDescent="0.35">
      <c r="A156" s="1636" t="s">
        <v>429</v>
      </c>
      <c r="B156" s="1187" t="s">
        <v>436</v>
      </c>
      <c r="C156" s="1187"/>
      <c r="D156" s="1187"/>
      <c r="E156" s="1187"/>
      <c r="F156" s="1187"/>
      <c r="G156" s="1187"/>
    </row>
    <row r="157" spans="1:8" s="739" customFormat="1" ht="23" customHeight="1" x14ac:dyDescent="0.35">
      <c r="A157" s="1636" t="s">
        <v>426</v>
      </c>
      <c r="B157" s="1187" t="s">
        <v>435</v>
      </c>
      <c r="C157" s="1187"/>
      <c r="D157" s="1187"/>
      <c r="E157" s="1187"/>
      <c r="F157" s="1187"/>
      <c r="G157" s="1187"/>
    </row>
    <row r="158" spans="1:8" s="739" customFormat="1" ht="33" customHeight="1" x14ac:dyDescent="0.35">
      <c r="A158" s="1636"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276" t="s">
        <v>334</v>
      </c>
      <c r="B161" s="1276"/>
      <c r="C161" s="1276"/>
      <c r="D161" s="742"/>
      <c r="E161" s="742"/>
      <c r="F161" s="743"/>
      <c r="G161" s="743"/>
    </row>
    <row r="162" spans="1:11" ht="20.149999999999999" customHeight="1" x14ac:dyDescent="0.35">
      <c r="A162" s="741"/>
      <c r="B162" s="741"/>
      <c r="C162" s="741"/>
      <c r="D162" s="741"/>
      <c r="E162" s="741"/>
      <c r="F162" s="741"/>
      <c r="G162" s="741"/>
    </row>
    <row r="163" spans="1:11" ht="20.149999999999999" customHeight="1" x14ac:dyDescent="0.35">
      <c r="A163" s="1178"/>
      <c r="B163" s="1178"/>
      <c r="C163" s="1178"/>
      <c r="D163" s="1178"/>
      <c r="E163" s="1178"/>
      <c r="F163" s="1178"/>
      <c r="G163" s="1178"/>
    </row>
    <row r="164" spans="1:11" ht="30" customHeight="1" x14ac:dyDescent="0.35">
      <c r="A164" s="744"/>
      <c r="B164" s="744"/>
      <c r="C164" s="744"/>
      <c r="D164" s="810"/>
      <c r="E164" s="802"/>
      <c r="F164" s="802"/>
      <c r="G164" s="810"/>
    </row>
    <row r="165" spans="1:11" ht="20.149999999999999" customHeight="1" x14ac:dyDescent="0.35">
      <c r="A165" s="1179" t="s">
        <v>76</v>
      </c>
      <c r="B165" s="1179"/>
      <c r="C165" s="1179"/>
      <c r="D165" s="1179"/>
      <c r="E165" s="1179" t="s">
        <v>91</v>
      </c>
      <c r="F165" s="1179"/>
      <c r="G165" s="1179"/>
    </row>
    <row r="166" spans="1:11" ht="23" customHeight="1" x14ac:dyDescent="0.35">
      <c r="A166" s="1180" t="s">
        <v>289</v>
      </c>
      <c r="B166" s="1180"/>
      <c r="C166" s="1180"/>
      <c r="D166" s="1180"/>
      <c r="E166" s="1180" t="s">
        <v>290</v>
      </c>
      <c r="F166" s="1180"/>
      <c r="G166" s="1180"/>
    </row>
    <row r="167" spans="1:11" ht="23" customHeight="1" x14ac:dyDescent="0.35">
      <c r="A167" s="1180" t="e">
        <f>VLOOKUP($D$164,'DATOS &amp; '!$A$157:$D$160,4,FALSE)</f>
        <v>#N/A</v>
      </c>
      <c r="B167" s="1180"/>
      <c r="C167" s="1180"/>
      <c r="D167" s="1180"/>
      <c r="E167" s="1181" t="e">
        <f>VLOOKUP($G$164,'DATOS &amp; '!A157:F160,6,FALSE)</f>
        <v>#N/A</v>
      </c>
      <c r="F167" s="1181"/>
      <c r="G167" s="1181"/>
    </row>
    <row r="168" spans="1:11" ht="23" customHeight="1" x14ac:dyDescent="0.35">
      <c r="A168" s="1182" t="e">
        <f>VLOOKUP($D$164,'DATOS &amp; '!$A$157:$D$160,2,FALSE)</f>
        <v>#N/A</v>
      </c>
      <c r="B168" s="1182"/>
      <c r="C168" s="1182"/>
      <c r="D168" s="1182"/>
      <c r="E168" s="1182" t="e">
        <f>VLOOKUP($G$164,'DATOS &amp; '!A157:F160,2,FALSE)</f>
        <v>#N/A</v>
      </c>
      <c r="F168" s="1182"/>
      <c r="G168" s="1182"/>
    </row>
    <row r="169" spans="1:11" ht="15" customHeight="1" x14ac:dyDescent="0.35">
      <c r="A169" s="665"/>
      <c r="B169" s="665"/>
      <c r="C169" s="665"/>
      <c r="D169" s="665"/>
      <c r="E169" s="665"/>
      <c r="F169" s="665"/>
      <c r="G169" s="665"/>
    </row>
    <row r="170" spans="1:11" ht="20.25" customHeight="1" x14ac:dyDescent="0.35"/>
    <row r="171" spans="1:11" ht="23" customHeight="1" x14ac:dyDescent="0.35">
      <c r="A171" s="1258" t="s">
        <v>260</v>
      </c>
      <c r="B171" s="1258"/>
      <c r="C171" s="745" t="s">
        <v>421</v>
      </c>
      <c r="D171" s="745"/>
      <c r="E171" s="1183" t="s">
        <v>437</v>
      </c>
      <c r="F171" s="1183"/>
      <c r="G171" s="645" t="s">
        <v>421</v>
      </c>
    </row>
    <row r="172" spans="1:11" ht="15" customHeight="1" x14ac:dyDescent="0.35">
      <c r="C172" s="701"/>
    </row>
    <row r="173" spans="1:11" ht="23.15" customHeight="1" x14ac:dyDescent="0.35">
      <c r="A173" s="1177" t="s">
        <v>335</v>
      </c>
      <c r="B173" s="1177"/>
      <c r="C173" s="1177"/>
      <c r="D173" s="1177"/>
      <c r="E173" s="1177"/>
      <c r="F173" s="1177"/>
      <c r="G173" s="1177"/>
      <c r="K173" s="746"/>
    </row>
  </sheetData>
  <sheetProtection algorithmName="SHA-512" hashValue="kXJf90m6yNxtLaB5mn60H+5EgSfLe55LMGPGeF1QZsc7CZGlzbsrgv8CYkJLEOHICj8aO+VnEwGGZOxH8tqEXw==" saltValue="rXg5NPqOsB9YPFRW+b4NXg==" spinCount="100000" sheet="1" objects="1" scenarios="1"/>
  <mergeCells count="128">
    <mergeCell ref="A161:C161"/>
    <mergeCell ref="E110:F110"/>
    <mergeCell ref="A90:E90"/>
    <mergeCell ref="A92:D92"/>
    <mergeCell ref="A113:B113"/>
    <mergeCell ref="B149:G149"/>
    <mergeCell ref="A84:B84"/>
    <mergeCell ref="A85:B85"/>
    <mergeCell ref="A86:B86"/>
    <mergeCell ref="A93:B93"/>
    <mergeCell ref="A94:B94"/>
    <mergeCell ref="A88:G88"/>
    <mergeCell ref="A102:B102"/>
    <mergeCell ref="A103:B103"/>
    <mergeCell ref="A104:B104"/>
    <mergeCell ref="A105:B105"/>
    <mergeCell ref="A106:B106"/>
    <mergeCell ref="A96:B96"/>
    <mergeCell ref="A97:B97"/>
    <mergeCell ref="A83:B83"/>
    <mergeCell ref="A63:B63"/>
    <mergeCell ref="A75:B75"/>
    <mergeCell ref="A76:B76"/>
    <mergeCell ref="A77:B77"/>
    <mergeCell ref="A78:B78"/>
    <mergeCell ref="E71:F71"/>
    <mergeCell ref="A72:C72"/>
    <mergeCell ref="A74:E74"/>
    <mergeCell ref="A79:B79"/>
    <mergeCell ref="A80:B80"/>
    <mergeCell ref="A81:B81"/>
    <mergeCell ref="A82:B82"/>
    <mergeCell ref="A66:G67"/>
    <mergeCell ref="A60:B60"/>
    <mergeCell ref="A61:B61"/>
    <mergeCell ref="A62:B62"/>
    <mergeCell ref="A1:G1"/>
    <mergeCell ref="A69:G69"/>
    <mergeCell ref="D14:E14"/>
    <mergeCell ref="D15:E15"/>
    <mergeCell ref="A26:C26"/>
    <mergeCell ref="D26:F26"/>
    <mergeCell ref="A23:G23"/>
    <mergeCell ref="A16:C16"/>
    <mergeCell ref="A8:C8"/>
    <mergeCell ref="D8:E8"/>
    <mergeCell ref="A20:C20"/>
    <mergeCell ref="A41:G41"/>
    <mergeCell ref="A21:C21"/>
    <mergeCell ref="E3:F3"/>
    <mergeCell ref="A4:D4"/>
    <mergeCell ref="A57:B57"/>
    <mergeCell ref="A35:C35"/>
    <mergeCell ref="D6:G6"/>
    <mergeCell ref="A7:C7"/>
    <mergeCell ref="A30:G30"/>
    <mergeCell ref="A19:C19"/>
    <mergeCell ref="A10:C10"/>
    <mergeCell ref="E10:F10"/>
    <mergeCell ref="A18:C18"/>
    <mergeCell ref="D17:E17"/>
    <mergeCell ref="A12:G12"/>
    <mergeCell ref="D16:G16"/>
    <mergeCell ref="D7:G7"/>
    <mergeCell ref="A6:C6"/>
    <mergeCell ref="A14:C14"/>
    <mergeCell ref="A15:C15"/>
    <mergeCell ref="A17:C17"/>
    <mergeCell ref="A24:G24"/>
    <mergeCell ref="A64:C64"/>
    <mergeCell ref="A28:G28"/>
    <mergeCell ref="A37:G37"/>
    <mergeCell ref="A45:C45"/>
    <mergeCell ref="A48:C48"/>
    <mergeCell ref="D45:E45"/>
    <mergeCell ref="D46:E46"/>
    <mergeCell ref="D47:E47"/>
    <mergeCell ref="D48:E48"/>
    <mergeCell ref="A46:C46"/>
    <mergeCell ref="E40:F40"/>
    <mergeCell ref="A47:C47"/>
    <mergeCell ref="A43:G43"/>
    <mergeCell ref="A32:G32"/>
    <mergeCell ref="D49:E49"/>
    <mergeCell ref="A56:D56"/>
    <mergeCell ref="A36:C36"/>
    <mergeCell ref="A52:G52"/>
    <mergeCell ref="D50:E50"/>
    <mergeCell ref="A50:C50"/>
    <mergeCell ref="A54:D54"/>
    <mergeCell ref="A58:B58"/>
    <mergeCell ref="A59:B59"/>
    <mergeCell ref="A95:B95"/>
    <mergeCell ref="A138:G138"/>
    <mergeCell ref="B155:G155"/>
    <mergeCell ref="B156:G156"/>
    <mergeCell ref="B157:G157"/>
    <mergeCell ref="B158:G158"/>
    <mergeCell ref="B159:G159"/>
    <mergeCell ref="B152:G152"/>
    <mergeCell ref="B153:G153"/>
    <mergeCell ref="B154:G154"/>
    <mergeCell ref="A100:D100"/>
    <mergeCell ref="A148:G148"/>
    <mergeCell ref="A147:D147"/>
    <mergeCell ref="E145:F145"/>
    <mergeCell ref="A135:D135"/>
    <mergeCell ref="A136:F136"/>
    <mergeCell ref="A131:G131"/>
    <mergeCell ref="A143:G143"/>
    <mergeCell ref="A98:B98"/>
    <mergeCell ref="A101:B101"/>
    <mergeCell ref="B150:G150"/>
    <mergeCell ref="B151:G151"/>
    <mergeCell ref="A111:B111"/>
    <mergeCell ref="A112:B112"/>
    <mergeCell ref="A173:G173"/>
    <mergeCell ref="A163:G163"/>
    <mergeCell ref="E165:G165"/>
    <mergeCell ref="A167:D167"/>
    <mergeCell ref="E167:G167"/>
    <mergeCell ref="A168:D168"/>
    <mergeCell ref="E168:G168"/>
    <mergeCell ref="A165:D165"/>
    <mergeCell ref="E166:G166"/>
    <mergeCell ref="E171:F171"/>
    <mergeCell ref="A166:D166"/>
    <mergeCell ref="A171:B17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Vr.12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'DATOS &amp; '!$A$157:$A$160</xm:f>
          </x14:formula1>
          <xm:sqref>G164 D164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O23"/>
  <sheetViews>
    <sheetView showGridLines="0" view="pageBreakPreview" zoomScale="80" zoomScaleNormal="140" zoomScaleSheetLayoutView="80" workbookViewId="0">
      <selection activeCell="D1" sqref="D1:K1"/>
    </sheetView>
  </sheetViews>
  <sheetFormatPr baseColWidth="10" defaultRowHeight="14.5" x14ac:dyDescent="0.35"/>
  <cols>
    <col min="2" max="2" width="14.54296875" customWidth="1"/>
    <col min="3" max="3" width="12" customWidth="1"/>
    <col min="5" max="5" width="13.453125" customWidth="1"/>
    <col min="7" max="7" width="13.1796875" bestFit="1" customWidth="1"/>
    <col min="8" max="8" width="25.1796875" customWidth="1"/>
    <col min="9" max="9" width="12" customWidth="1"/>
    <col min="10" max="10" width="12.26953125" bestFit="1" customWidth="1"/>
  </cols>
  <sheetData>
    <row r="1" spans="1:11" ht="77" customHeight="1" x14ac:dyDescent="0.35">
      <c r="A1" s="1295"/>
      <c r="B1" s="1295"/>
      <c r="C1" s="1295"/>
      <c r="D1" s="1296" t="s">
        <v>238</v>
      </c>
      <c r="E1" s="1296"/>
      <c r="F1" s="1296"/>
      <c r="G1" s="1296"/>
      <c r="H1" s="1296"/>
      <c r="I1" s="1296"/>
      <c r="J1" s="1296"/>
      <c r="K1" s="1296"/>
    </row>
    <row r="2" spans="1:11" ht="15" thickBot="1" x14ac:dyDescent="0.4"/>
    <row r="3" spans="1:11" ht="15" thickBot="1" x14ac:dyDescent="0.4">
      <c r="B3" s="1297" t="s">
        <v>372</v>
      </c>
      <c r="C3" s="1298"/>
      <c r="D3" s="1298"/>
      <c r="E3" s="1298"/>
      <c r="F3" s="1298"/>
      <c r="G3" s="1298"/>
      <c r="H3" s="1298"/>
      <c r="I3" s="1299"/>
    </row>
    <row r="4" spans="1:11" ht="15" thickBot="1" x14ac:dyDescent="0.4">
      <c r="B4" s="1300" t="s">
        <v>378</v>
      </c>
      <c r="C4" s="1301"/>
      <c r="D4" s="1301"/>
      <c r="E4" s="1301"/>
      <c r="F4" s="1301"/>
      <c r="G4" s="1301"/>
      <c r="H4" s="1301"/>
      <c r="I4" s="1302"/>
    </row>
    <row r="5" spans="1:11" ht="58.5" customHeight="1" x14ac:dyDescent="0.35">
      <c r="B5" s="534" t="s">
        <v>452</v>
      </c>
      <c r="C5" s="535" t="s">
        <v>444</v>
      </c>
      <c r="D5" s="535" t="s">
        <v>292</v>
      </c>
      <c r="E5" s="535" t="s">
        <v>370</v>
      </c>
      <c r="F5" s="535" t="s">
        <v>450</v>
      </c>
      <c r="G5" s="535" t="s">
        <v>451</v>
      </c>
      <c r="H5" s="533" t="s">
        <v>453</v>
      </c>
      <c r="I5" s="536" t="s">
        <v>376</v>
      </c>
    </row>
    <row r="6" spans="1:11" x14ac:dyDescent="0.35">
      <c r="B6" s="368">
        <v>5</v>
      </c>
      <c r="C6" s="449" t="e">
        <f>' RT03-F15 &amp;'!C102</f>
        <v>#DIV/0!</v>
      </c>
      <c r="D6" s="449" t="e">
        <f>' RT03-F15 &amp;'!D102</f>
        <v>#N/A</v>
      </c>
      <c r="E6" s="394" t="e">
        <f>D6/B6</f>
        <v>#N/A</v>
      </c>
      <c r="F6" s="1286" t="e">
        <f>MAX(E6:E10)</f>
        <v>#N/A</v>
      </c>
      <c r="G6" s="1289" t="e">
        <f>MIN(E6:E10)</f>
        <v>#N/A</v>
      </c>
      <c r="H6" s="449" t="e">
        <f>'RT03-F12 &amp;'!$M$141+('RT03-F12 &amp;'!$O$141*' CMC &amp;'!B6)</f>
        <v>#DIV/0!</v>
      </c>
      <c r="I6" s="372" t="e">
        <f>H6/B6</f>
        <v>#DIV/0!</v>
      </c>
      <c r="J6" s="575" t="e">
        <f>'RT03-F12 &amp;'!$M$141+(' CMC &amp;'!D21*' CMC &amp;'!B6)</f>
        <v>#DIV/0!</v>
      </c>
    </row>
    <row r="7" spans="1:11" x14ac:dyDescent="0.35">
      <c r="B7" s="503">
        <v>1000</v>
      </c>
      <c r="C7" s="449" t="e">
        <f>' RT03-F15 &amp;'!C103</f>
        <v>#DIV/0!</v>
      </c>
      <c r="D7" s="449" t="e">
        <f>' RT03-F15 &amp;'!D103</f>
        <v>#N/A</v>
      </c>
      <c r="E7" s="394" t="e">
        <f t="shared" ref="E7:E10" si="0">D7/B7</f>
        <v>#N/A</v>
      </c>
      <c r="F7" s="1287"/>
      <c r="G7" s="1290"/>
      <c r="H7" s="449" t="e">
        <f>'RT03-F12 &amp;'!$M$141+('RT03-F12 &amp;'!$O$141*' CMC &amp;'!B7)</f>
        <v>#DIV/0!</v>
      </c>
      <c r="I7" s="372" t="e">
        <f t="shared" ref="I7:I9" si="1">H7/B7</f>
        <v>#DIV/0!</v>
      </c>
      <c r="J7" s="575" t="e">
        <f>'RT03-F12 &amp;'!$M$141+(' CMC &amp;'!D21*' CMC &amp;'!B7)</f>
        <v>#DIV/0!</v>
      </c>
    </row>
    <row r="8" spans="1:11" x14ac:dyDescent="0.35">
      <c r="B8" s="503">
        <v>2000</v>
      </c>
      <c r="C8" s="449" t="e">
        <f>' RT03-F15 &amp;'!C104</f>
        <v>#DIV/0!</v>
      </c>
      <c r="D8" s="367" t="e">
        <f>' RT03-F15 &amp;'!D104</f>
        <v>#N/A</v>
      </c>
      <c r="E8" s="394" t="e">
        <f t="shared" si="0"/>
        <v>#N/A</v>
      </c>
      <c r="F8" s="1287"/>
      <c r="G8" s="1290"/>
      <c r="H8" s="449" t="e">
        <f>'RT03-F12 &amp;'!$M$141+('RT03-F12 &amp;'!$O$141*' CMC &amp;'!B8)</f>
        <v>#DIV/0!</v>
      </c>
      <c r="I8" s="372" t="e">
        <f t="shared" si="1"/>
        <v>#DIV/0!</v>
      </c>
      <c r="J8" s="575" t="e">
        <f>'RT03-F12 &amp;'!$M$141+(' CMC &amp;'!D21*' CMC &amp;'!B8)</f>
        <v>#DIV/0!</v>
      </c>
    </row>
    <row r="9" spans="1:11" x14ac:dyDescent="0.35">
      <c r="B9" s="503">
        <v>5000</v>
      </c>
      <c r="C9" s="367" t="e">
        <f>' RT03-F15 &amp;'!C105</f>
        <v>#DIV/0!</v>
      </c>
      <c r="D9" s="367" t="e">
        <f>' RT03-F15 &amp;'!D105</f>
        <v>#N/A</v>
      </c>
      <c r="E9" s="394" t="e">
        <f t="shared" si="0"/>
        <v>#N/A</v>
      </c>
      <c r="F9" s="1287"/>
      <c r="G9" s="1290"/>
      <c r="H9" s="367" t="e">
        <f>'RT03-F12 &amp;'!$M$141+('RT03-F12 &amp;'!$O$141*' CMC &amp;'!B9)</f>
        <v>#DIV/0!</v>
      </c>
      <c r="I9" s="372" t="e">
        <f t="shared" si="1"/>
        <v>#DIV/0!</v>
      </c>
      <c r="J9" s="575" t="e">
        <f>'RT03-F12 &amp;'!$M$141+(' CMC &amp;'!D21*' CMC &amp;'!B9)</f>
        <v>#DIV/0!</v>
      </c>
    </row>
    <row r="10" spans="1:11" ht="15" thickBot="1" x14ac:dyDescent="0.4">
      <c r="B10" s="504">
        <v>8200</v>
      </c>
      <c r="C10" s="371" t="e">
        <f>' RT03-F15 &amp;'!C106</f>
        <v>#DIV/0!</v>
      </c>
      <c r="D10" s="371" t="e">
        <f>' RT03-F15 &amp;'!D106</f>
        <v>#N/A</v>
      </c>
      <c r="E10" s="395" t="e">
        <f t="shared" si="0"/>
        <v>#N/A</v>
      </c>
      <c r="F10" s="1288"/>
      <c r="G10" s="1291"/>
      <c r="H10" s="371" t="e">
        <f>'RT03-F12 &amp;'!$M$141+('RT03-F12 &amp;'!$O$141*' CMC &amp;'!B10)</f>
        <v>#DIV/0!</v>
      </c>
      <c r="I10" s="450" t="e">
        <f>H10/B10</f>
        <v>#DIV/0!</v>
      </c>
      <c r="J10" s="575" t="e">
        <f>'RT03-F12 &amp;'!$M$141+(' CMC &amp;'!D21*' CMC &amp;'!B10)</f>
        <v>#DIV/0!</v>
      </c>
    </row>
    <row r="11" spans="1:11" x14ac:dyDescent="0.35">
      <c r="B11" s="366"/>
      <c r="C11" s="366"/>
      <c r="D11" s="366"/>
      <c r="E11" s="366"/>
      <c r="F11" s="366"/>
      <c r="G11" s="366"/>
      <c r="J11" s="576"/>
    </row>
    <row r="12" spans="1:11" ht="15" thickBot="1" x14ac:dyDescent="0.4"/>
    <row r="13" spans="1:11" ht="51" customHeight="1" thickBot="1" x14ac:dyDescent="0.4">
      <c r="B13" s="1292" t="s">
        <v>449</v>
      </c>
      <c r="C13" s="1293"/>
      <c r="D13" s="1293"/>
      <c r="E13" s="1293"/>
      <c r="F13" s="1293"/>
      <c r="G13" s="1293"/>
      <c r="H13" s="1293"/>
      <c r="I13" s="1293"/>
      <c r="J13" s="1293"/>
      <c r="K13" s="1294"/>
    </row>
    <row r="14" spans="1:11" ht="15" thickBot="1" x14ac:dyDescent="0.4"/>
    <row r="15" spans="1:11" ht="57" customHeight="1" x14ac:dyDescent="0.35">
      <c r="B15" s="537" t="s">
        <v>447</v>
      </c>
      <c r="C15" s="538" t="s">
        <v>374</v>
      </c>
      <c r="D15" s="1283" t="s">
        <v>373</v>
      </c>
      <c r="G15" s="1303" t="s">
        <v>448</v>
      </c>
      <c r="H15" s="1306" t="s">
        <v>377</v>
      </c>
    </row>
    <row r="16" spans="1:11" x14ac:dyDescent="0.35">
      <c r="B16" s="555">
        <v>200</v>
      </c>
      <c r="C16" s="556">
        <v>1</v>
      </c>
      <c r="D16" s="1284"/>
      <c r="G16" s="1304"/>
      <c r="H16" s="1307"/>
    </row>
    <row r="17" spans="2:15" x14ac:dyDescent="0.35">
      <c r="B17" s="557">
        <v>1000</v>
      </c>
      <c r="C17" s="556">
        <v>5</v>
      </c>
      <c r="D17" s="1284"/>
      <c r="G17" s="1304"/>
      <c r="H17" s="1307"/>
    </row>
    <row r="18" spans="2:15" x14ac:dyDescent="0.35">
      <c r="B18" s="557">
        <v>2000</v>
      </c>
      <c r="C18" s="558">
        <v>10</v>
      </c>
      <c r="D18" s="1284"/>
      <c r="G18" s="1304"/>
      <c r="H18" s="1307"/>
    </row>
    <row r="19" spans="2:15" ht="15" thickBot="1" x14ac:dyDescent="0.4">
      <c r="B19" s="559">
        <v>5000</v>
      </c>
      <c r="C19" s="560">
        <v>25</v>
      </c>
      <c r="D19" s="1285"/>
      <c r="G19" s="1305"/>
      <c r="H19" s="1308"/>
      <c r="O19" s="369"/>
    </row>
    <row r="20" spans="2:15" ht="15" thickBot="1" x14ac:dyDescent="0.4">
      <c r="B20" s="1280" t="s">
        <v>375</v>
      </c>
      <c r="C20" s="1281"/>
      <c r="D20" s="1282"/>
      <c r="G20" s="539"/>
      <c r="H20" s="540"/>
    </row>
    <row r="21" spans="2:15" ht="15" thickBot="1" x14ac:dyDescent="0.4">
      <c r="B21" s="561">
        <f>SUM(B16:B19)</f>
        <v>8200</v>
      </c>
      <c r="C21" s="562">
        <f>SUM(C16:C19)/1000</f>
        <v>4.1000000000000002E-2</v>
      </c>
      <c r="D21" s="563">
        <f>C21/B21</f>
        <v>5.0000000000000004E-6</v>
      </c>
      <c r="G21" s="541" t="e">
        <f>'RT03-F12 &amp;'!$M$141+(' CMC &amp;'!D21*' CMC &amp;'!B21)</f>
        <v>#DIV/0!</v>
      </c>
      <c r="H21" s="542" t="e">
        <f>G21/B21</f>
        <v>#DIV/0!</v>
      </c>
      <c r="O21" s="370"/>
    </row>
    <row r="22" spans="2:15" ht="15" thickBot="1" x14ac:dyDescent="0.4"/>
    <row r="23" spans="2:15" ht="15" thickBot="1" x14ac:dyDescent="0.4">
      <c r="D23" s="451" t="e">
        <f>MIN(D21,E10,I10)</f>
        <v>#N/A</v>
      </c>
    </row>
  </sheetData>
  <sheetProtection algorithmName="SHA-512" hashValue="xtRFbaqfvQ7eLNyQNPRJRtz+K4RsYLT78QAE/XSCRdBOEOEA47E2yL7FIwQFh4oe8ub5NDoJcbTI7esy17DA8Q==" saltValue="kWGg/oV1DTlQSKksdPWydA==" spinCount="100000" sheet="1" objects="1" scenarios="1"/>
  <mergeCells count="11">
    <mergeCell ref="A1:C1"/>
    <mergeCell ref="D1:K1"/>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0" orientation="portrait" r:id="rId1"/>
  <headerFooter>
    <oddFooter xml:space="preserve">&amp;RRT03-F12 Vr.12 (2020-11-25)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Q11"/>
  <sheetViews>
    <sheetView showGridLines="0" view="pageBreakPreview" zoomScale="70" zoomScaleNormal="80" zoomScaleSheetLayoutView="70" workbookViewId="0">
      <selection activeCell="C4" sqref="C4"/>
    </sheetView>
  </sheetViews>
  <sheetFormatPr baseColWidth="10" defaultRowHeight="14.5" x14ac:dyDescent="0.35"/>
  <cols>
    <col min="3" max="9" width="15.54296875" customWidth="1"/>
    <col min="10" max="10" width="17.453125" customWidth="1"/>
    <col min="11" max="13" width="18.7265625" customWidth="1"/>
    <col min="14" max="14" width="17.453125" customWidth="1"/>
  </cols>
  <sheetData>
    <row r="1" spans="1:17" s="440" customFormat="1" ht="30" customHeight="1" x14ac:dyDescent="0.35">
      <c r="A1" s="1309"/>
      <c r="B1" s="1309"/>
      <c r="C1" s="1309"/>
      <c r="D1" s="1309"/>
      <c r="E1" s="1312" t="s">
        <v>238</v>
      </c>
      <c r="F1" s="1312"/>
      <c r="G1" s="1312"/>
      <c r="H1" s="1312"/>
      <c r="I1" s="1312"/>
      <c r="J1" s="1312"/>
      <c r="K1" s="1312"/>
      <c r="L1" s="1312"/>
      <c r="M1" s="1312"/>
      <c r="N1" s="1312"/>
      <c r="O1" s="1312"/>
      <c r="P1" s="1312"/>
      <c r="Q1" s="1312"/>
    </row>
    <row r="2" spans="1:17" s="440" customFormat="1" ht="30" customHeight="1" x14ac:dyDescent="0.35">
      <c r="A2" s="1310"/>
      <c r="B2" s="1310"/>
      <c r="C2" s="1310"/>
      <c r="D2" s="1310"/>
      <c r="E2" s="1313"/>
      <c r="F2" s="1313"/>
      <c r="G2" s="1313"/>
      <c r="H2" s="1313"/>
      <c r="I2" s="1313"/>
      <c r="J2" s="1313"/>
      <c r="K2" s="1313"/>
      <c r="L2" s="1313"/>
      <c r="M2" s="1313"/>
      <c r="N2" s="1313"/>
      <c r="O2" s="1313"/>
      <c r="P2" s="1313"/>
      <c r="Q2" s="1313"/>
    </row>
    <row r="3" spans="1:17" s="440" customFormat="1" ht="30" customHeight="1" x14ac:dyDescent="0.35">
      <c r="A3" s="1311"/>
      <c r="B3" s="1311"/>
      <c r="C3" s="1311"/>
      <c r="D3" s="1311"/>
      <c r="E3" s="1314"/>
      <c r="F3" s="1314"/>
      <c r="G3" s="1314"/>
      <c r="H3" s="1314"/>
      <c r="I3" s="1314"/>
      <c r="J3" s="1314"/>
      <c r="K3" s="1314"/>
      <c r="L3" s="1314"/>
      <c r="M3" s="1314"/>
      <c r="N3" s="1314"/>
      <c r="O3" s="1314"/>
      <c r="P3" s="1314"/>
      <c r="Q3" s="1314"/>
    </row>
    <row r="5" spans="1:17" ht="15" thickBot="1" x14ac:dyDescent="0.4"/>
    <row r="6" spans="1:17" ht="47" thickBot="1" x14ac:dyDescent="0.4">
      <c r="A6" s="1315" t="s">
        <v>327</v>
      </c>
      <c r="B6" s="1316"/>
      <c r="C6" s="543" t="s">
        <v>328</v>
      </c>
      <c r="D6" s="544" t="s">
        <v>460</v>
      </c>
      <c r="E6" s="787" t="s">
        <v>509</v>
      </c>
      <c r="F6" s="787" t="s">
        <v>461</v>
      </c>
      <c r="G6" s="788" t="s">
        <v>462</v>
      </c>
      <c r="H6" s="788" t="s">
        <v>463</v>
      </c>
      <c r="I6" s="788" t="s">
        <v>463</v>
      </c>
      <c r="J6" s="788" t="s">
        <v>464</v>
      </c>
      <c r="K6" s="788" t="s">
        <v>465</v>
      </c>
      <c r="L6" s="788" t="s">
        <v>507</v>
      </c>
      <c r="M6" s="788" t="s">
        <v>508</v>
      </c>
      <c r="N6" s="789" t="s">
        <v>506</v>
      </c>
      <c r="P6" s="551">
        <v>1</v>
      </c>
      <c r="Q6" s="551">
        <v>-1</v>
      </c>
    </row>
    <row r="7" spans="1:17" ht="30" customHeight="1" x14ac:dyDescent="0.35">
      <c r="A7" s="1261" t="s">
        <v>329</v>
      </c>
      <c r="B7" s="1262"/>
      <c r="C7" s="545" t="s">
        <v>466</v>
      </c>
      <c r="D7" s="797">
        <v>1</v>
      </c>
      <c r="E7" s="799" t="e">
        <f>'RT03-F12 &amp;'!K93</f>
        <v>#N/A</v>
      </c>
      <c r="F7" s="781" t="e">
        <f>' RT03-F15 &amp;'!C102</f>
        <v>#DIV/0!</v>
      </c>
      <c r="G7" s="781" t="e">
        <f>' RT03-F15 &amp;'!D102</f>
        <v>#N/A</v>
      </c>
      <c r="H7" s="547">
        <v>-1</v>
      </c>
      <c r="I7" s="547">
        <v>1</v>
      </c>
      <c r="J7" s="548" t="e">
        <f>_xlfn.NORM.S.DIST(M7,1)</f>
        <v>#DIV/0!</v>
      </c>
      <c r="K7" s="791" t="e">
        <f>1-J7</f>
        <v>#DIV/0!</v>
      </c>
      <c r="L7" s="781" t="e">
        <f>ABS(F7)</f>
        <v>#DIV/0!</v>
      </c>
      <c r="M7" s="796" t="e">
        <f>(I7-L7)/(G7/2)</f>
        <v>#DIV/0!</v>
      </c>
      <c r="N7" s="792" t="e">
        <f>IF(AND(J7&gt;=97.5%,K7&lt;=2.5%),"SI","NO")</f>
        <v>#DIV/0!</v>
      </c>
      <c r="P7" s="551">
        <v>1</v>
      </c>
      <c r="Q7" s="551">
        <v>-1</v>
      </c>
    </row>
    <row r="8" spans="1:17" ht="30" customHeight="1" thickBot="1" x14ac:dyDescent="0.4">
      <c r="A8" s="1263" t="s">
        <v>336</v>
      </c>
      <c r="B8" s="1264"/>
      <c r="C8" s="549" t="s">
        <v>467</v>
      </c>
      <c r="D8" s="798">
        <v>2</v>
      </c>
      <c r="E8" s="800" t="e">
        <f>'RT03-F12 &amp;'!K94</f>
        <v>#N/A</v>
      </c>
      <c r="F8" s="778" t="e">
        <f>' RT03-F15 &amp;'!C103</f>
        <v>#DIV/0!</v>
      </c>
      <c r="G8" s="778" t="e">
        <f>' RT03-F15 &amp;'!D103</f>
        <v>#N/A</v>
      </c>
      <c r="H8" s="551">
        <v>-1</v>
      </c>
      <c r="I8" s="551">
        <v>1</v>
      </c>
      <c r="J8" s="779" t="e">
        <f t="shared" ref="J8:J11" si="0">_xlfn.NORM.S.DIST(M8,1)</f>
        <v>#DIV/0!</v>
      </c>
      <c r="K8" s="790" t="e">
        <f t="shared" ref="K8:K11" si="1">1-J8</f>
        <v>#DIV/0!</v>
      </c>
      <c r="L8" s="778" t="e">
        <f t="shared" ref="L8:L11" si="2">ABS(F8)</f>
        <v>#DIV/0!</v>
      </c>
      <c r="M8" s="780" t="e">
        <f t="shared" ref="M8:M11" si="3">(I8-L8)/(G8/2)</f>
        <v>#DIV/0!</v>
      </c>
      <c r="N8" s="793" t="e">
        <f>IF(AND(J8&gt;=97.5%,K8&lt;=2.5%),"SI","NO")</f>
        <v>#DIV/0!</v>
      </c>
      <c r="P8" s="551">
        <v>1</v>
      </c>
      <c r="Q8" s="551">
        <v>-1</v>
      </c>
    </row>
    <row r="9" spans="1:17" ht="30" customHeight="1" x14ac:dyDescent="0.35">
      <c r="E9" s="800" t="e">
        <f>'RT03-F12 &amp;'!K95</f>
        <v>#N/A</v>
      </c>
      <c r="F9" s="778" t="e">
        <f>' RT03-F15 &amp;'!C104</f>
        <v>#DIV/0!</v>
      </c>
      <c r="G9" s="784" t="e">
        <f>' RT03-F15 &amp;'!D104</f>
        <v>#N/A</v>
      </c>
      <c r="H9" s="551">
        <v>-1</v>
      </c>
      <c r="I9" s="551">
        <v>1</v>
      </c>
      <c r="J9" s="779" t="e">
        <f t="shared" si="0"/>
        <v>#DIV/0!</v>
      </c>
      <c r="K9" s="790" t="e">
        <f t="shared" si="1"/>
        <v>#DIV/0!</v>
      </c>
      <c r="L9" s="778" t="e">
        <f t="shared" si="2"/>
        <v>#DIV/0!</v>
      </c>
      <c r="M9" s="780" t="e">
        <f t="shared" si="3"/>
        <v>#DIV/0!</v>
      </c>
      <c r="N9" s="793" t="e">
        <f>IF(AND(J9&gt;=97.5%,K9&lt;=2.5%),"SI","NO")</f>
        <v>#DIV/0!</v>
      </c>
      <c r="P9" s="551">
        <v>1</v>
      </c>
      <c r="Q9" s="551">
        <v>-1</v>
      </c>
    </row>
    <row r="10" spans="1:17" ht="30" customHeight="1" x14ac:dyDescent="0.35">
      <c r="E10" s="800" t="e">
        <f>'RT03-F12 &amp;'!K96</f>
        <v>#N/A</v>
      </c>
      <c r="F10" s="778" t="e">
        <f>' RT03-F15 &amp;'!C105</f>
        <v>#DIV/0!</v>
      </c>
      <c r="G10" s="784" t="e">
        <f>' RT03-F15 &amp;'!D105</f>
        <v>#N/A</v>
      </c>
      <c r="H10" s="551">
        <v>-2</v>
      </c>
      <c r="I10" s="551">
        <v>2</v>
      </c>
      <c r="J10" s="779" t="e">
        <f t="shared" si="0"/>
        <v>#DIV/0!</v>
      </c>
      <c r="K10" s="790" t="e">
        <f t="shared" si="1"/>
        <v>#DIV/0!</v>
      </c>
      <c r="L10" s="778" t="e">
        <f t="shared" si="2"/>
        <v>#DIV/0!</v>
      </c>
      <c r="M10" s="780" t="e">
        <f t="shared" si="3"/>
        <v>#DIV/0!</v>
      </c>
      <c r="N10" s="793" t="e">
        <f>IF(AND(J10&gt;=97.5%,K10&lt;=2.5%),"SI","NO")</f>
        <v>#DIV/0!</v>
      </c>
      <c r="P10" s="551">
        <v>2</v>
      </c>
      <c r="Q10" s="551">
        <v>-2</v>
      </c>
    </row>
    <row r="11" spans="1:17" ht="30" customHeight="1" thickBot="1" x14ac:dyDescent="0.4">
      <c r="E11" s="801" t="e">
        <f>'RT03-F12 &amp;'!K97</f>
        <v>#N/A</v>
      </c>
      <c r="F11" s="782" t="e">
        <f>' RT03-F15 &amp;'!C106</f>
        <v>#DIV/0!</v>
      </c>
      <c r="G11" s="785" t="e">
        <f>' RT03-F15 &amp;'!D106</f>
        <v>#N/A</v>
      </c>
      <c r="H11" s="552">
        <v>-2</v>
      </c>
      <c r="I11" s="552">
        <v>2</v>
      </c>
      <c r="J11" s="783" t="e">
        <f t="shared" si="0"/>
        <v>#DIV/0!</v>
      </c>
      <c r="K11" s="794" t="e">
        <f t="shared" si="1"/>
        <v>#DIV/0!</v>
      </c>
      <c r="L11" s="782" t="e">
        <f t="shared" si="2"/>
        <v>#DIV/0!</v>
      </c>
      <c r="M11" s="786" t="e">
        <f t="shared" si="3"/>
        <v>#DIV/0!</v>
      </c>
      <c r="N11" s="795" t="e">
        <f>IF(AND(J11&gt;=97.5%,K11&lt;=2.5%),"SI","NO")</f>
        <v>#DIV/0!</v>
      </c>
      <c r="P11" s="551">
        <v>2</v>
      </c>
      <c r="Q11" s="551">
        <v>-2</v>
      </c>
    </row>
  </sheetData>
  <sheetProtection algorithmName="SHA-512" hashValue="oY0reSms1HKG7h75lqCVeJenqBwQHAk7FGByRXa2v64h3Oo/sGp98N3gkJ+b+q3PXFBx2AUTUOWYwyEzzv0gxA==" saltValue="//QMg0E59m3sY0mLfEOEEw==" spinCount="100000"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35" orientation="portrait" r:id="rId1"/>
  <headerFooter>
    <oddFooter xml:space="preserve">&amp;RRT03-F12 Vr.12 (2020-11-25)
</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V43"/>
  <sheetViews>
    <sheetView showGridLines="0" view="pageBreakPreview" zoomScale="80" zoomScaleNormal="30" zoomScaleSheetLayoutView="80" workbookViewId="0">
      <selection activeCell="C6" sqref="C6"/>
    </sheetView>
  </sheetViews>
  <sheetFormatPr baseColWidth="10" defaultColWidth="11.453125" defaultRowHeight="15.5" x14ac:dyDescent="0.35"/>
  <cols>
    <col min="1" max="5" width="26.7265625" style="440" customWidth="1"/>
    <col min="6" max="16384" width="11.453125" style="440"/>
  </cols>
  <sheetData>
    <row r="1" spans="1:22" ht="98.5" customHeight="1" x14ac:dyDescent="0.35">
      <c r="A1" s="1322"/>
      <c r="B1" s="1322"/>
      <c r="C1" s="1296" t="s">
        <v>238</v>
      </c>
      <c r="D1" s="1296"/>
      <c r="E1" s="1296"/>
      <c r="F1" s="1296"/>
      <c r="G1" s="1296"/>
      <c r="H1" s="1296"/>
      <c r="I1" s="1296"/>
      <c r="J1" s="1296"/>
      <c r="K1" s="1296"/>
      <c r="L1" s="1296"/>
      <c r="M1" s="1296"/>
      <c r="N1" s="1296"/>
      <c r="O1" s="1296"/>
      <c r="P1" s="1296"/>
      <c r="Q1" s="1296"/>
      <c r="R1" s="1296"/>
      <c r="S1" s="1296"/>
      <c r="T1" s="1296"/>
      <c r="U1" s="1296"/>
      <c r="V1" s="1296"/>
    </row>
    <row r="2" spans="1:22" ht="16" customHeight="1" x14ac:dyDescent="0.35"/>
    <row r="3" spans="1:22" ht="15" customHeight="1" x14ac:dyDescent="0.35">
      <c r="A3" s="1320" t="s">
        <v>440</v>
      </c>
      <c r="B3" s="1321"/>
      <c r="C3" s="1321"/>
      <c r="D3" s="1321"/>
      <c r="E3" s="1321"/>
      <c r="F3" s="1321"/>
      <c r="G3" s="1321"/>
      <c r="H3" s="1321"/>
      <c r="I3" s="1321"/>
      <c r="J3" s="1321"/>
      <c r="K3" s="1321"/>
      <c r="L3" s="1321"/>
      <c r="M3" s="1321"/>
      <c r="N3" s="1321"/>
      <c r="O3" s="1321"/>
      <c r="P3" s="1321"/>
      <c r="Q3" s="1321"/>
      <c r="R3" s="1321"/>
      <c r="S3" s="1321"/>
      <c r="T3" s="1321"/>
      <c r="U3" s="1321"/>
      <c r="V3" s="1321"/>
    </row>
    <row r="4" spans="1:22" ht="23.25" customHeight="1" thickBot="1" x14ac:dyDescent="0.4">
      <c r="A4" s="1320"/>
      <c r="B4" s="1321"/>
      <c r="C4" s="1321"/>
      <c r="D4" s="1321"/>
      <c r="E4" s="1321"/>
      <c r="F4" s="1321"/>
      <c r="G4" s="1321"/>
      <c r="H4" s="1321"/>
      <c r="I4" s="1321"/>
      <c r="J4" s="1321"/>
      <c r="K4" s="1321"/>
      <c r="L4" s="1321"/>
      <c r="M4" s="1321"/>
      <c r="N4" s="1321"/>
      <c r="O4" s="1321"/>
      <c r="P4" s="1321"/>
      <c r="Q4" s="1321"/>
      <c r="R4" s="1321"/>
      <c r="S4" s="1321"/>
      <c r="T4" s="1321"/>
      <c r="U4" s="1321"/>
      <c r="V4" s="1321"/>
    </row>
    <row r="5" spans="1:22" s="442" customFormat="1" ht="46.5" customHeight="1" thickBot="1" x14ac:dyDescent="0.4">
      <c r="A5" s="515"/>
      <c r="B5" s="505" t="s">
        <v>419</v>
      </c>
      <c r="C5" s="505" t="s">
        <v>420</v>
      </c>
      <c r="D5" s="441"/>
      <c r="E5" s="441"/>
    </row>
    <row r="6" spans="1:22" s="443" customFormat="1" ht="30" customHeight="1" thickBot="1" x14ac:dyDescent="0.4">
      <c r="A6" s="506" t="s">
        <v>418</v>
      </c>
      <c r="B6" s="507">
        <f>'RT03-F12 &amp;'!C32</f>
        <v>0</v>
      </c>
      <c r="C6" s="507">
        <f>'RT03-F12 &amp;'!C62</f>
        <v>0</v>
      </c>
      <c r="D6" s="507" t="s">
        <v>441</v>
      </c>
      <c r="E6" s="508">
        <f>'RT03-F12 &amp;'!K28</f>
        <v>0</v>
      </c>
    </row>
    <row r="7" spans="1:22" s="443" customFormat="1" ht="30" customHeight="1" thickBot="1" x14ac:dyDescent="0.4">
      <c r="A7" s="509" t="s">
        <v>415</v>
      </c>
      <c r="B7" s="768" t="s">
        <v>105</v>
      </c>
      <c r="C7" s="768" t="s">
        <v>221</v>
      </c>
      <c r="D7" s="768" t="s">
        <v>395</v>
      </c>
      <c r="E7" s="769" t="s">
        <v>222</v>
      </c>
    </row>
    <row r="8" spans="1:22" s="443" customFormat="1" ht="48" customHeight="1" x14ac:dyDescent="0.35">
      <c r="A8" s="1317" t="e">
        <f>'RT03-F12 &amp;'!F6</f>
        <v>#N/A</v>
      </c>
      <c r="B8" s="510" t="s">
        <v>416</v>
      </c>
      <c r="C8" s="512"/>
      <c r="D8" s="513"/>
      <c r="E8" s="514"/>
    </row>
    <row r="9" spans="1:22" s="443" customFormat="1" ht="48" customHeight="1" x14ac:dyDescent="0.35">
      <c r="A9" s="1318"/>
      <c r="B9" s="777" t="s">
        <v>417</v>
      </c>
      <c r="C9" s="774"/>
      <c r="D9" s="770"/>
      <c r="E9" s="772"/>
    </row>
    <row r="10" spans="1:22" s="443" customFormat="1" ht="48" customHeight="1" x14ac:dyDescent="0.35">
      <c r="A10" s="1318"/>
      <c r="B10" s="777" t="s">
        <v>442</v>
      </c>
      <c r="C10" s="775" t="e">
        <f>C8+(VLOOKUP('RT03-F12 &amp;'!K28,'DATOS &amp; '!G154:T167,9,FALSE))*C8+(VLOOKUP('RT03-F12 &amp;'!K28,'DATOS &amp; '!G154:T167,10,FALSE))</f>
        <v>#N/A</v>
      </c>
      <c r="D10" s="771" t="e">
        <f>D8+(VLOOKUP('RT03-F12 &amp;'!K28,'DATOS &amp; '!G154:T167,11,FALSE))*D8+(VLOOKUP('RT03-F12 &amp;'!K28,'DATOS &amp; '!G154:T167,12,FALSE))</f>
        <v>#N/A</v>
      </c>
      <c r="E10" s="773" t="e">
        <f>E8+(VLOOKUP('RT03-F12 &amp;'!K28,'DATOS &amp; '!G154:T167,13,FALSE))*E8+(VLOOKUP('RT03-F12 &amp;'!K28,'DATOS &amp; '!G154:T167,14,FALSE))</f>
        <v>#N/A</v>
      </c>
    </row>
    <row r="11" spans="1:22" s="443" customFormat="1" ht="48" customHeight="1" thickBot="1" x14ac:dyDescent="0.4">
      <c r="A11" s="1319"/>
      <c r="B11" s="511" t="s">
        <v>443</v>
      </c>
      <c r="C11" s="776" t="e">
        <f>C9+(VLOOKUP('RT03-F12 &amp;'!K28,'DATOS &amp; '!G154:T167,9,FALSE))*C9+(VLOOKUP('RT03-F12 &amp;'!K28,'DATOS &amp; '!G154:T167,10,FALSE))</f>
        <v>#N/A</v>
      </c>
      <c r="D11" s="446" t="e">
        <f>D9+(VLOOKUP('RT03-F12 &amp;'!K28,'DATOS &amp; '!G154:T167,11,FALSE))*D9+(VLOOKUP('RT03-F12 &amp;'!K28,'DATOS &amp; '!G154:T167,12,FALSE))</f>
        <v>#N/A</v>
      </c>
      <c r="E11" s="447" t="e">
        <f>E9+(VLOOKUP('RT03-F12 &amp;'!K28,'DATOS &amp; '!G154:T167,13,FALSE))*E9+(VLOOKUP('RT03-F12 &amp;'!K28,'DATOS &amp; '!G154:T167,14,FALSE))</f>
        <v>#N/A</v>
      </c>
    </row>
    <row r="12" spans="1:22" s="443" customFormat="1" ht="30" customHeight="1" x14ac:dyDescent="0.35">
      <c r="B12" s="444"/>
      <c r="C12" s="445"/>
      <c r="D12" s="445"/>
      <c r="E12" s="445"/>
    </row>
    <row r="13" spans="1:22" s="443" customFormat="1" ht="30" customHeight="1" x14ac:dyDescent="0.35">
      <c r="B13" s="444"/>
      <c r="C13" s="445"/>
      <c r="D13" s="445"/>
      <c r="E13" s="445"/>
    </row>
    <row r="14" spans="1:22" s="443" customFormat="1" ht="30" customHeight="1" x14ac:dyDescent="0.35"/>
    <row r="15" spans="1:22" s="443" customFormat="1" ht="30" customHeight="1" x14ac:dyDescent="0.35"/>
    <row r="16" spans="1:22" s="443" customFormat="1" ht="30" customHeight="1" x14ac:dyDescent="0.35"/>
    <row r="17" s="443" customFormat="1" ht="30" customHeight="1" x14ac:dyDescent="0.35"/>
    <row r="18" s="443" customFormat="1" ht="30" customHeight="1" x14ac:dyDescent="0.35"/>
    <row r="19" s="443" customFormat="1" ht="30" customHeight="1" x14ac:dyDescent="0.35"/>
    <row r="20" s="443" customFormat="1" ht="30" customHeight="1" x14ac:dyDescent="0.35"/>
    <row r="21" s="443" customFormat="1" ht="30" customHeight="1" x14ac:dyDescent="0.35"/>
    <row r="22" s="443" customFormat="1" ht="30" customHeight="1" x14ac:dyDescent="0.35"/>
    <row r="23" s="443" customFormat="1" x14ac:dyDescent="0.35"/>
    <row r="24" s="443" customFormat="1" x14ac:dyDescent="0.35"/>
    <row r="25" s="443" customFormat="1" x14ac:dyDescent="0.35"/>
    <row r="26" s="443" customFormat="1" x14ac:dyDescent="0.35"/>
    <row r="27" s="443" customFormat="1" x14ac:dyDescent="0.35"/>
    <row r="28" s="443" customFormat="1" x14ac:dyDescent="0.35"/>
    <row r="29" s="443" customFormat="1" x14ac:dyDescent="0.35"/>
    <row r="30" s="443" customFormat="1" x14ac:dyDescent="0.35"/>
    <row r="31" s="443" customFormat="1" x14ac:dyDescent="0.35"/>
    <row r="32" s="443" customFormat="1" x14ac:dyDescent="0.35"/>
    <row r="33" s="443" customFormat="1" x14ac:dyDescent="0.35"/>
    <row r="34" s="443" customFormat="1" x14ac:dyDescent="0.35"/>
    <row r="35" s="443" customFormat="1" x14ac:dyDescent="0.35"/>
    <row r="36" s="443" customFormat="1" x14ac:dyDescent="0.35"/>
    <row r="37" s="443" customFormat="1" x14ac:dyDescent="0.35"/>
    <row r="38" s="443" customFormat="1" x14ac:dyDescent="0.35"/>
    <row r="39" s="443" customFormat="1" x14ac:dyDescent="0.35"/>
    <row r="40" s="443" customFormat="1" x14ac:dyDescent="0.35"/>
    <row r="41" s="443" customFormat="1" x14ac:dyDescent="0.35"/>
    <row r="42" s="443" customFormat="1" x14ac:dyDescent="0.35"/>
    <row r="43" s="443" customFormat="1" x14ac:dyDescent="0.35"/>
  </sheetData>
  <sheetProtection algorithmName="SHA-512" hashValue="MUI9TyYC1nES7YxJ2GAPgy3TXRZ9p7dS3dOyL60i4W3vwsewFeCiYmgbCmtyhL7mVbR5oozJ9+YQ5vhALQAqOg==" saltValue="X3GEcw2+bIxh7OHfOPJNzA==" spinCount="100000" sheet="1" objects="1" scenarios="1"/>
  <mergeCells count="4">
    <mergeCell ref="A8:A11"/>
    <mergeCell ref="A3:V4"/>
    <mergeCell ref="A1:B1"/>
    <mergeCell ref="C1:V1"/>
  </mergeCells>
  <pageMargins left="0.70866141732283472" right="0.70866141732283472" top="0.74803149606299213" bottom="0.74803149606299213" header="0.31496062992125984" footer="0.31496062992125984"/>
  <pageSetup scale="26" orientation="portrait" r:id="rId1"/>
  <headerFooter>
    <oddFooter xml:space="preserve">&amp;RRT03-F12 Vr.12 (2020-11-25)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07E6-7C83-4E16-A426-C01C38CC2874}">
  <sheetPr>
    <tabColor rgb="FF7030A0"/>
  </sheetPr>
  <dimension ref="A1:R173"/>
  <sheetViews>
    <sheetView showGridLines="0" showRuler="0" showWhiteSpace="0" view="pageBreakPreview" zoomScale="70" zoomScaleNormal="110" zoomScaleSheetLayoutView="70" zoomScalePageLayoutView="85" workbookViewId="0">
      <selection activeCell="F2" sqref="F2"/>
    </sheetView>
  </sheetViews>
  <sheetFormatPr baseColWidth="10" defaultColWidth="11.453125" defaultRowHeight="15" customHeight="1" x14ac:dyDescent="0.35"/>
  <cols>
    <col min="1" max="1" width="3.7265625" style="56" customWidth="1"/>
    <col min="2" max="2" width="20" style="56" customWidth="1"/>
    <col min="3" max="3" width="19.54296875" style="56" customWidth="1"/>
    <col min="4" max="6" width="17.7265625" style="56" customWidth="1"/>
    <col min="7" max="7" width="21.26953125" style="56" customWidth="1"/>
    <col min="8" max="14" width="11.453125" style="56"/>
    <col min="15" max="15" width="7.1796875" style="56" customWidth="1"/>
    <col min="16" max="18" width="11.453125" style="56" hidden="1" customWidth="1"/>
    <col min="19" max="16384" width="11.453125" style="56"/>
  </cols>
  <sheetData>
    <row r="1" spans="1:7" ht="125" customHeight="1" x14ac:dyDescent="0.35">
      <c r="A1" s="1325"/>
      <c r="B1" s="1325"/>
      <c r="C1" s="1325"/>
      <c r="D1" s="1325"/>
      <c r="E1" s="1325"/>
      <c r="F1" s="1325"/>
      <c r="G1" s="1325"/>
    </row>
    <row r="2" spans="1:7" ht="35" customHeight="1" x14ac:dyDescent="0.35">
      <c r="A2" s="1326"/>
      <c r="B2" s="1326"/>
      <c r="C2" s="1326"/>
    </row>
    <row r="3" spans="1:7" ht="35" customHeight="1" x14ac:dyDescent="0.35">
      <c r="A3" s="1326"/>
      <c r="B3" s="1326"/>
      <c r="C3" s="1326"/>
      <c r="E3" s="1327" t="s">
        <v>510</v>
      </c>
      <c r="F3" s="1327"/>
      <c r="G3" s="1328" t="e">
        <f>'RT03-F12 &amp;'!I6</f>
        <v>#N/A</v>
      </c>
    </row>
    <row r="4" spans="1:7" ht="20.149999999999999" customHeight="1" x14ac:dyDescent="0.35">
      <c r="A4" s="1329" t="s">
        <v>66</v>
      </c>
      <c r="B4" s="1329"/>
      <c r="C4" s="1329"/>
      <c r="D4" s="1329"/>
    </row>
    <row r="5" spans="1:7" ht="15.75" customHeight="1" x14ac:dyDescent="0.35">
      <c r="A5" s="1330"/>
      <c r="B5" s="1330"/>
      <c r="C5" s="1331"/>
      <c r="D5" s="1331"/>
      <c r="E5" s="1331"/>
      <c r="F5" s="1331"/>
      <c r="G5" s="1331"/>
    </row>
    <row r="6" spans="1:7" ht="23" customHeight="1" x14ac:dyDescent="0.35">
      <c r="A6" s="1332" t="s">
        <v>249</v>
      </c>
      <c r="B6" s="1332"/>
      <c r="C6" s="1332"/>
      <c r="D6" s="1333" t="e">
        <f>'RT03-F12 &amp;'!G6</f>
        <v>#N/A</v>
      </c>
      <c r="E6" s="1334"/>
      <c r="F6" s="1334"/>
      <c r="G6" s="1334"/>
    </row>
    <row r="7" spans="1:7" ht="23" customHeight="1" x14ac:dyDescent="0.35">
      <c r="A7" s="1332" t="s">
        <v>67</v>
      </c>
      <c r="B7" s="1332"/>
      <c r="C7" s="1332"/>
      <c r="D7" s="1335" t="e">
        <f>'RT03-F12 &amp;'!H6</f>
        <v>#N/A</v>
      </c>
      <c r="E7" s="1335"/>
      <c r="F7" s="1335"/>
      <c r="G7" s="1335"/>
    </row>
    <row r="8" spans="1:7" ht="23" customHeight="1" x14ac:dyDescent="0.35">
      <c r="A8" s="1332" t="s">
        <v>68</v>
      </c>
      <c r="B8" s="1332"/>
      <c r="C8" s="1332"/>
      <c r="D8" s="1333" t="e">
        <f>'RT03-F12 &amp;'!B6</f>
        <v>#N/A</v>
      </c>
      <c r="E8" s="1334"/>
      <c r="F8" s="1336"/>
      <c r="G8" s="1336"/>
    </row>
    <row r="9" spans="1:7" ht="18" customHeight="1" x14ac:dyDescent="0.35">
      <c r="A9" s="1337"/>
      <c r="B9" s="1337"/>
      <c r="C9" s="1337"/>
      <c r="D9" s="1338"/>
      <c r="E9" s="1337"/>
      <c r="F9" s="1339"/>
      <c r="G9" s="1339"/>
    </row>
    <row r="10" spans="1:7" ht="23" customHeight="1" x14ac:dyDescent="0.35">
      <c r="A10" s="1332" t="s">
        <v>69</v>
      </c>
      <c r="B10" s="1332"/>
      <c r="C10" s="1332"/>
      <c r="D10" s="1340" t="e">
        <f>'RT03-F12 &amp;'!C6</f>
        <v>#N/A</v>
      </c>
      <c r="E10" s="1341" t="s">
        <v>71</v>
      </c>
      <c r="F10" s="1341"/>
      <c r="G10" s="1340" t="e">
        <f>'RT03-F12 &amp;'!F6</f>
        <v>#N/A</v>
      </c>
    </row>
    <row r="11" spans="1:7" ht="15" customHeight="1" x14ac:dyDescent="0.35">
      <c r="A11" s="1337"/>
      <c r="B11" s="1337"/>
      <c r="C11" s="1337"/>
      <c r="D11" s="1340"/>
      <c r="E11" s="1342"/>
      <c r="F11" s="1342"/>
      <c r="G11" s="1340"/>
    </row>
    <row r="12" spans="1:7" ht="23.15" customHeight="1" x14ac:dyDescent="0.35">
      <c r="A12" s="1329" t="s">
        <v>280</v>
      </c>
      <c r="B12" s="1329"/>
      <c r="C12" s="1329"/>
      <c r="D12" s="1329"/>
      <c r="E12" s="1329"/>
      <c r="F12" s="1329"/>
      <c r="G12" s="1329"/>
    </row>
    <row r="13" spans="1:7" ht="12" customHeight="1" x14ac:dyDescent="0.35">
      <c r="A13" s="1337"/>
      <c r="B13" s="1337"/>
      <c r="C13" s="1337"/>
      <c r="D13" s="1337"/>
      <c r="E13" s="1337"/>
      <c r="F13" s="1339"/>
      <c r="G13" s="1339"/>
    </row>
    <row r="14" spans="1:7" ht="23" customHeight="1" x14ac:dyDescent="0.35">
      <c r="A14" s="1332" t="s">
        <v>298</v>
      </c>
      <c r="B14" s="1332"/>
      <c r="C14" s="1332"/>
      <c r="D14" s="1241" t="s">
        <v>491</v>
      </c>
      <c r="E14" s="1241"/>
      <c r="F14" s="1339"/>
      <c r="G14" s="1339"/>
    </row>
    <row r="15" spans="1:7" ht="23" customHeight="1" x14ac:dyDescent="0.35">
      <c r="A15" s="1332" t="s">
        <v>299</v>
      </c>
      <c r="B15" s="1332"/>
      <c r="C15" s="1332"/>
      <c r="D15" s="1332" t="e">
        <f>'RT03-F12 &amp;'!D9</f>
        <v>#N/A</v>
      </c>
      <c r="E15" s="1332"/>
      <c r="F15" s="1339"/>
      <c r="G15" s="1339"/>
    </row>
    <row r="16" spans="1:7" ht="23" customHeight="1" x14ac:dyDescent="0.35">
      <c r="A16" s="1332" t="s">
        <v>406</v>
      </c>
      <c r="B16" s="1332"/>
      <c r="C16" s="1332"/>
      <c r="D16" s="1332" t="e">
        <f>'RT03-F12 &amp;'!D11</f>
        <v>#N/A</v>
      </c>
      <c r="E16" s="1332"/>
      <c r="F16" s="1332"/>
      <c r="G16" s="1332"/>
    </row>
    <row r="17" spans="1:7" ht="23" customHeight="1" x14ac:dyDescent="0.35">
      <c r="A17" s="1332" t="s">
        <v>300</v>
      </c>
      <c r="B17" s="1332"/>
      <c r="C17" s="1332"/>
      <c r="D17" s="1332" t="e">
        <f>'RT03-F12 &amp;'!D10</f>
        <v>#N/A</v>
      </c>
      <c r="E17" s="1332"/>
      <c r="F17" s="1339"/>
      <c r="G17" s="1339"/>
    </row>
    <row r="18" spans="1:7" ht="23" customHeight="1" x14ac:dyDescent="0.35">
      <c r="A18" s="1332" t="s">
        <v>301</v>
      </c>
      <c r="B18" s="1332"/>
      <c r="C18" s="1332"/>
      <c r="D18" s="1343" t="e">
        <f>'RT03-F12 &amp;'!D12</f>
        <v>#N/A</v>
      </c>
      <c r="E18" s="1337"/>
      <c r="F18" s="1344"/>
      <c r="G18" s="1337"/>
    </row>
    <row r="19" spans="1:7" ht="23" customHeight="1" x14ac:dyDescent="0.35">
      <c r="A19" s="1345" t="s">
        <v>302</v>
      </c>
      <c r="B19" s="1345"/>
      <c r="C19" s="1345"/>
      <c r="D19" s="1346" t="e">
        <f>'RT03-F12 &amp;'!D13</f>
        <v>#N/A</v>
      </c>
      <c r="E19" s="1347"/>
      <c r="F19" s="1347"/>
      <c r="G19" s="1347"/>
    </row>
    <row r="20" spans="1:7" ht="23" customHeight="1" x14ac:dyDescent="0.35">
      <c r="A20" s="1345" t="s">
        <v>303</v>
      </c>
      <c r="B20" s="1345"/>
      <c r="C20" s="1345"/>
      <c r="D20" s="1348" t="e">
        <f>'RT03-F12 &amp;'!D14</f>
        <v>#N/A</v>
      </c>
      <c r="E20" s="1347"/>
      <c r="F20" s="1347"/>
      <c r="G20" s="1347"/>
    </row>
    <row r="21" spans="1:7" ht="23" customHeight="1" x14ac:dyDescent="0.35">
      <c r="A21" s="1345" t="s">
        <v>304</v>
      </c>
      <c r="B21" s="1345"/>
      <c r="C21" s="1345"/>
      <c r="D21" s="1346" t="e">
        <f>'RT03-F12 &amp;'!D15</f>
        <v>#N/A</v>
      </c>
      <c r="E21" s="1347"/>
      <c r="F21" s="1347"/>
      <c r="G21" s="1347"/>
    </row>
    <row r="22" spans="1:7" ht="23.15" customHeight="1" x14ac:dyDescent="0.35"/>
    <row r="23" spans="1:7" ht="23.15" customHeight="1" x14ac:dyDescent="0.35">
      <c r="A23" s="1329" t="s">
        <v>281</v>
      </c>
      <c r="B23" s="1329"/>
      <c r="C23" s="1329"/>
      <c r="D23" s="1329"/>
      <c r="E23" s="1329"/>
      <c r="F23" s="1329"/>
      <c r="G23" s="1329"/>
    </row>
    <row r="24" spans="1:7" ht="23" customHeight="1" x14ac:dyDescent="0.35">
      <c r="A24" s="1349" t="e">
        <f>'RT03-F12 &amp;'!E6</f>
        <v>#N/A</v>
      </c>
      <c r="B24" s="1349"/>
      <c r="C24" s="1349"/>
      <c r="D24" s="1349"/>
      <c r="E24" s="1349"/>
      <c r="F24" s="1349"/>
      <c r="G24" s="1349"/>
    </row>
    <row r="25" spans="1:7" ht="23.15" customHeight="1" x14ac:dyDescent="0.35">
      <c r="A25" s="1350"/>
      <c r="B25" s="1350"/>
      <c r="C25" s="1331"/>
      <c r="D25" s="1350"/>
      <c r="E25" s="1331"/>
      <c r="F25" s="1351"/>
      <c r="G25" s="1351"/>
    </row>
    <row r="26" spans="1:7" ht="23.15" customHeight="1" x14ac:dyDescent="0.35">
      <c r="A26" s="1329" t="s">
        <v>282</v>
      </c>
      <c r="B26" s="1329"/>
      <c r="C26" s="1329"/>
      <c r="D26" s="1352" t="e">
        <f>'RT03-F12 &amp;'!D6</f>
        <v>#N/A</v>
      </c>
      <c r="E26" s="1352"/>
      <c r="F26" s="1352"/>
      <c r="G26" s="1351"/>
    </row>
    <row r="27" spans="1:7" ht="23.15" customHeight="1" x14ac:dyDescent="0.35">
      <c r="E27" s="1353"/>
      <c r="F27" s="1331"/>
      <c r="G27" s="1331"/>
    </row>
    <row r="28" spans="1:7" ht="23.15" customHeight="1" x14ac:dyDescent="0.35">
      <c r="A28" s="1354" t="s">
        <v>283</v>
      </c>
      <c r="B28" s="1354"/>
      <c r="C28" s="1354"/>
      <c r="D28" s="1354"/>
      <c r="E28" s="1354"/>
      <c r="F28" s="1354"/>
      <c r="G28" s="1354"/>
    </row>
    <row r="29" spans="1:7" ht="15" customHeight="1" x14ac:dyDescent="0.35">
      <c r="A29" s="1355"/>
      <c r="B29" s="1355"/>
      <c r="C29" s="1355"/>
      <c r="D29" s="1355"/>
      <c r="E29" s="1353"/>
      <c r="F29" s="1331"/>
      <c r="G29" s="1331"/>
    </row>
    <row r="30" spans="1:7" ht="33" customHeight="1" x14ac:dyDescent="0.35">
      <c r="A30" s="1246" t="s">
        <v>305</v>
      </c>
      <c r="B30" s="1246"/>
      <c r="C30" s="1246"/>
      <c r="D30" s="1246"/>
      <c r="E30" s="1246"/>
      <c r="F30" s="1246"/>
      <c r="G30" s="1246"/>
    </row>
    <row r="31" spans="1:7" ht="25.5" customHeight="1" x14ac:dyDescent="0.35">
      <c r="A31" s="1356"/>
      <c r="B31" s="1356"/>
      <c r="C31" s="1356"/>
      <c r="D31" s="1356"/>
      <c r="E31" s="1356"/>
      <c r="F31" s="1356"/>
      <c r="G31" s="1356"/>
    </row>
    <row r="32" spans="1:7" ht="23.15" customHeight="1" x14ac:dyDescent="0.35">
      <c r="A32" s="1329" t="s">
        <v>368</v>
      </c>
      <c r="B32" s="1329"/>
      <c r="C32" s="1329"/>
      <c r="D32" s="1329"/>
      <c r="E32" s="1329"/>
      <c r="F32" s="1329"/>
      <c r="G32" s="1329"/>
    </row>
    <row r="33" spans="1:7" ht="8" customHeight="1" thickBot="1" x14ac:dyDescent="0.4">
      <c r="A33" s="1357"/>
      <c r="B33" s="1357"/>
      <c r="C33" s="1357"/>
      <c r="D33" s="1357"/>
      <c r="E33" s="1357"/>
      <c r="G33" s="1358"/>
    </row>
    <row r="34" spans="1:7" ht="33" customHeight="1" thickBot="1" x14ac:dyDescent="0.4">
      <c r="A34" s="1359"/>
      <c r="B34" s="1359"/>
      <c r="C34" s="1359"/>
      <c r="D34" s="1360" t="s">
        <v>5</v>
      </c>
      <c r="E34" s="1360" t="s">
        <v>403</v>
      </c>
      <c r="F34" s="1360" t="s">
        <v>4</v>
      </c>
      <c r="G34" s="1357"/>
    </row>
    <row r="35" spans="1:7" ht="33" customHeight="1" thickBot="1" x14ac:dyDescent="0.4">
      <c r="A35" s="1361" t="s">
        <v>384</v>
      </c>
      <c r="B35" s="1362"/>
      <c r="C35" s="1363"/>
      <c r="D35" s="1364" t="e">
        <f>'RT03-F12 &amp;'!E64</f>
        <v>#N/A</v>
      </c>
      <c r="E35" s="1365" t="e">
        <f>'RT03-F12 &amp;'!G64</f>
        <v>#N/A</v>
      </c>
      <c r="F35" s="1366" t="e">
        <f>'RT03-F12 &amp;'!I64</f>
        <v>#N/A</v>
      </c>
      <c r="G35" s="1357"/>
    </row>
    <row r="36" spans="1:7" ht="33" customHeight="1" thickBot="1" x14ac:dyDescent="0.4">
      <c r="A36" s="1361" t="s">
        <v>385</v>
      </c>
      <c r="B36" s="1362"/>
      <c r="C36" s="1363"/>
      <c r="D36" s="1367" t="e">
        <f>'RT03-F12 &amp;'!E65</f>
        <v>#N/A</v>
      </c>
      <c r="E36" s="1368" t="e">
        <f>'RT03-F12 &amp;'!G65</f>
        <v>#N/A</v>
      </c>
      <c r="F36" s="1368" t="e">
        <f>'RT03-F12 &amp;'!I65</f>
        <v>#N/A</v>
      </c>
      <c r="G36" s="1357"/>
    </row>
    <row r="37" spans="1:7" ht="27.75" customHeight="1" x14ac:dyDescent="0.35">
      <c r="A37" s="1369" t="s">
        <v>512</v>
      </c>
      <c r="B37" s="1369"/>
      <c r="C37" s="1369"/>
      <c r="D37" s="1369"/>
      <c r="E37" s="1369"/>
      <c r="F37" s="1369"/>
      <c r="G37" s="1369"/>
    </row>
    <row r="38" spans="1:7" ht="125" customHeight="1" x14ac:dyDescent="0.35"/>
    <row r="39" spans="1:7" ht="35" customHeight="1" x14ac:dyDescent="0.35">
      <c r="A39" s="1370"/>
      <c r="B39" s="1370"/>
      <c r="C39" s="1370"/>
      <c r="D39" s="1370"/>
    </row>
    <row r="40" spans="1:7" ht="35" customHeight="1" x14ac:dyDescent="0.35">
      <c r="A40" s="1370"/>
      <c r="B40" s="1370"/>
      <c r="C40" s="1370"/>
      <c r="D40" s="1370"/>
      <c r="E40" s="1327" t="s">
        <v>510</v>
      </c>
      <c r="F40" s="1327"/>
      <c r="G40" s="1328" t="e">
        <f>G3</f>
        <v>#N/A</v>
      </c>
    </row>
    <row r="41" spans="1:7" ht="23.15" customHeight="1" x14ac:dyDescent="0.35">
      <c r="A41" s="1371" t="s">
        <v>293</v>
      </c>
      <c r="B41" s="1371"/>
      <c r="C41" s="1371"/>
      <c r="D41" s="1371"/>
      <c r="E41" s="1371"/>
      <c r="F41" s="1371"/>
      <c r="G41" s="1371"/>
    </row>
    <row r="42" spans="1:7" ht="12" customHeight="1" x14ac:dyDescent="0.35">
      <c r="A42" s="1372"/>
      <c r="B42" s="1372"/>
      <c r="C42" s="1372"/>
      <c r="D42" s="1372"/>
      <c r="E42" s="1372"/>
      <c r="F42" s="1372"/>
      <c r="G42" s="1372"/>
    </row>
    <row r="43" spans="1:7" ht="48" customHeight="1" x14ac:dyDescent="0.35">
      <c r="A43" s="1188" t="s">
        <v>284</v>
      </c>
      <c r="B43" s="1188"/>
      <c r="C43" s="1188"/>
      <c r="D43" s="1188"/>
      <c r="E43" s="1188"/>
      <c r="F43" s="1188"/>
      <c r="G43" s="1188"/>
    </row>
    <row r="44" spans="1:7" ht="12" customHeight="1" thickBot="1" x14ac:dyDescent="0.4">
      <c r="A44" s="1374"/>
      <c r="B44" s="1374"/>
      <c r="C44" s="1374"/>
      <c r="D44" s="1374"/>
      <c r="E44" s="1374"/>
      <c r="F44" s="1374"/>
      <c r="G44" s="1374"/>
    </row>
    <row r="45" spans="1:7" ht="30" customHeight="1" thickBot="1" x14ac:dyDescent="0.4">
      <c r="A45" s="1375" t="s">
        <v>295</v>
      </c>
      <c r="B45" s="1376"/>
      <c r="C45" s="1377"/>
      <c r="D45" s="1378" t="e">
        <f>'RT03-F12 &amp;'!I11</f>
        <v>#N/A</v>
      </c>
      <c r="E45" s="1379"/>
      <c r="F45" s="1370"/>
      <c r="G45" s="1370"/>
    </row>
    <row r="46" spans="1:7" ht="30" customHeight="1" thickBot="1" x14ac:dyDescent="0.4">
      <c r="A46" s="1375" t="s">
        <v>294</v>
      </c>
      <c r="B46" s="1376"/>
      <c r="C46" s="1377"/>
      <c r="D46" s="1215" t="s">
        <v>422</v>
      </c>
      <c r="E46" s="1216"/>
      <c r="F46" s="1331"/>
      <c r="G46" s="1331"/>
    </row>
    <row r="47" spans="1:7" ht="30" customHeight="1" thickBot="1" x14ac:dyDescent="0.4">
      <c r="A47" s="1375" t="s">
        <v>297</v>
      </c>
      <c r="B47" s="1376"/>
      <c r="C47" s="1377"/>
      <c r="D47" s="1382" t="e">
        <f>'RT03-F12 &amp;'!I12</f>
        <v>#N/A</v>
      </c>
      <c r="E47" s="1383"/>
      <c r="F47" s="1331"/>
      <c r="G47" s="1331"/>
    </row>
    <row r="48" spans="1:7" ht="30" customHeight="1" thickBot="1" x14ac:dyDescent="0.4">
      <c r="A48" s="1384" t="s">
        <v>184</v>
      </c>
      <c r="B48" s="1385"/>
      <c r="C48" s="1386"/>
      <c r="D48" s="1387" t="e">
        <f>'RT03-F12 &amp;'!I13</f>
        <v>#N/A</v>
      </c>
      <c r="E48" s="1388"/>
      <c r="F48" s="1331"/>
      <c r="G48" s="1331"/>
    </row>
    <row r="49" spans="1:7" ht="30" customHeight="1" thickBot="1" x14ac:dyDescent="0.4">
      <c r="A49" s="1389" t="s">
        <v>244</v>
      </c>
      <c r="B49" s="1389"/>
      <c r="C49" s="1390"/>
      <c r="D49" s="1387" t="e">
        <f>'RT03-F12 &amp;'!I15</f>
        <v>#N/A</v>
      </c>
      <c r="E49" s="1388"/>
      <c r="F49" s="1331"/>
      <c r="G49" s="1331"/>
    </row>
    <row r="50" spans="1:7" ht="30" customHeight="1" thickBot="1" x14ac:dyDescent="0.4">
      <c r="A50" s="1375" t="s">
        <v>296</v>
      </c>
      <c r="B50" s="1376"/>
      <c r="C50" s="1377"/>
      <c r="D50" s="1380" t="e">
        <f>'RT03-F12 &amp;'!G21&amp;" g  - "&amp;'RT03-F12 &amp;'!B26&amp;" g  - "&amp;'RT03-F12 &amp;'!G22/1000&amp;" kg  - "&amp;'RT03-F12 &amp;'!G23/1000&amp;" kg  - "&amp;'RT03-F12 &amp;'!G24/1000&amp;" kg "</f>
        <v>#N/A</v>
      </c>
      <c r="E50" s="1381"/>
      <c r="F50" s="1331"/>
      <c r="G50" s="1331"/>
    </row>
    <row r="51" spans="1:7" ht="30" customHeight="1" x14ac:dyDescent="0.35">
      <c r="A51" s="1357"/>
      <c r="B51" s="1357"/>
      <c r="C51" s="1357"/>
      <c r="D51" s="1337"/>
      <c r="E51" s="1337"/>
      <c r="F51" s="1331"/>
      <c r="G51" s="1331"/>
    </row>
    <row r="52" spans="1:7" ht="23.15" customHeight="1" x14ac:dyDescent="0.35">
      <c r="A52" s="1371" t="s">
        <v>285</v>
      </c>
      <c r="B52" s="1371"/>
      <c r="C52" s="1371"/>
      <c r="D52" s="1371"/>
      <c r="E52" s="1371"/>
      <c r="F52" s="1371"/>
      <c r="G52" s="1371"/>
    </row>
    <row r="53" spans="1:7" ht="12" customHeight="1" x14ac:dyDescent="0.35">
      <c r="A53" s="1370"/>
      <c r="B53" s="1370"/>
      <c r="C53" s="1370"/>
      <c r="D53" s="1370"/>
      <c r="E53" s="1370"/>
      <c r="F53" s="1370"/>
      <c r="G53" s="1370"/>
    </row>
    <row r="54" spans="1:7" ht="20.149999999999999" customHeight="1" x14ac:dyDescent="0.35">
      <c r="A54" s="1391" t="s">
        <v>73</v>
      </c>
      <c r="B54" s="1391"/>
      <c r="C54" s="1391"/>
      <c r="D54" s="1391"/>
      <c r="E54" s="1370"/>
      <c r="F54" s="1392"/>
      <c r="G54" s="1370"/>
    </row>
    <row r="55" spans="1:7" ht="12" customHeight="1" thickBot="1" x14ac:dyDescent="0.4">
      <c r="A55" s="1370"/>
      <c r="B55" s="1370"/>
      <c r="C55" s="1370"/>
      <c r="D55" s="1370"/>
      <c r="E55" s="1331"/>
      <c r="F55" s="1331"/>
      <c r="G55" s="1331"/>
    </row>
    <row r="56" spans="1:7" ht="30" customHeight="1" thickBot="1" x14ac:dyDescent="0.4">
      <c r="A56" s="1393" t="s">
        <v>255</v>
      </c>
      <c r="B56" s="1394"/>
      <c r="C56" s="1395"/>
      <c r="D56" s="1396"/>
      <c r="E56" s="1370"/>
      <c r="F56" s="1370"/>
      <c r="G56" s="1370"/>
    </row>
    <row r="57" spans="1:7" ht="30" customHeight="1" thickBot="1" x14ac:dyDescent="0.4">
      <c r="A57" s="1397" t="str">
        <f>'RT03-F12 &amp;'!C34</f>
        <v>Carga</v>
      </c>
      <c r="B57" s="1398"/>
      <c r="C57" s="1399">
        <f>'RT03-F12 &amp;'!E34</f>
        <v>0</v>
      </c>
      <c r="D57" s="1400" t="str">
        <f>'RT03-F12 &amp;'!D34</f>
        <v>(g)</v>
      </c>
      <c r="E57" s="1370"/>
      <c r="F57" s="1401" t="s">
        <v>72</v>
      </c>
      <c r="G57" s="1370"/>
    </row>
    <row r="58" spans="1:7" ht="30" customHeight="1" thickBot="1" x14ac:dyDescent="0.4">
      <c r="A58" s="1397" t="str">
        <f>'RT03-F12 &amp;'!B35</f>
        <v>Posición</v>
      </c>
      <c r="B58" s="1398"/>
      <c r="C58" s="1402" t="str">
        <f>'RT03-F12 &amp;'!B36</f>
        <v>Indicación (g)</v>
      </c>
      <c r="D58" s="1403" t="s">
        <v>102</v>
      </c>
      <c r="E58" s="1370"/>
      <c r="F58" s="1370"/>
      <c r="G58" s="1370"/>
    </row>
    <row r="59" spans="1:7" ht="30" customHeight="1" x14ac:dyDescent="0.35">
      <c r="A59" s="1404">
        <f>'RT03-F12 &amp;'!C35</f>
        <v>1</v>
      </c>
      <c r="B59" s="1405"/>
      <c r="C59" s="1406">
        <f>'RT03-F12 &amp;'!C36</f>
        <v>0</v>
      </c>
      <c r="D59" s="1407">
        <f>'RT03-F12 &amp;'!C37</f>
        <v>0</v>
      </c>
      <c r="E59" s="1370"/>
      <c r="G59" s="1370"/>
    </row>
    <row r="60" spans="1:7" ht="30" customHeight="1" x14ac:dyDescent="0.35">
      <c r="A60" s="1408">
        <f>'RT03-F12 &amp;'!D35</f>
        <v>2</v>
      </c>
      <c r="B60" s="1409"/>
      <c r="C60" s="1410">
        <f>'RT03-F12 &amp;'!D36</f>
        <v>0</v>
      </c>
      <c r="D60" s="1411">
        <f>'RT03-F12 &amp;'!D37</f>
        <v>0</v>
      </c>
      <c r="E60" s="1370"/>
      <c r="F60" s="1370"/>
      <c r="G60" s="1370"/>
    </row>
    <row r="61" spans="1:7" ht="30" customHeight="1" x14ac:dyDescent="0.35">
      <c r="A61" s="1408">
        <f>'RT03-F12 &amp;'!E35</f>
        <v>3</v>
      </c>
      <c r="B61" s="1409"/>
      <c r="C61" s="1412">
        <f>'RT03-F12 &amp;'!E36</f>
        <v>0</v>
      </c>
      <c r="D61" s="1411">
        <f>'RT03-F12 &amp;'!E37</f>
        <v>0</v>
      </c>
      <c r="E61" s="1370"/>
      <c r="F61" s="1370"/>
      <c r="G61" s="1370"/>
    </row>
    <row r="62" spans="1:7" ht="30" customHeight="1" x14ac:dyDescent="0.35">
      <c r="A62" s="1408">
        <f>'RT03-F12 &amp;'!F35</f>
        <v>4</v>
      </c>
      <c r="B62" s="1409"/>
      <c r="C62" s="1412">
        <f>'RT03-F12 &amp;'!F36</f>
        <v>0</v>
      </c>
      <c r="D62" s="1411">
        <f>'RT03-F12 &amp;'!F37</f>
        <v>0</v>
      </c>
      <c r="E62" s="1370"/>
      <c r="F62" s="1370"/>
      <c r="G62" s="1370"/>
    </row>
    <row r="63" spans="1:7" ht="30" customHeight="1" thickBot="1" x14ac:dyDescent="0.4">
      <c r="A63" s="1413">
        <f>'RT03-F12 &amp;'!G35</f>
        <v>5</v>
      </c>
      <c r="B63" s="1414"/>
      <c r="C63" s="1410">
        <f>'RT03-F12 &amp;'!G36</f>
        <v>0</v>
      </c>
      <c r="D63" s="1415">
        <f>'RT03-F12 &amp;'!G37</f>
        <v>0</v>
      </c>
      <c r="E63" s="1370"/>
      <c r="F63" s="1370"/>
      <c r="G63" s="1370"/>
    </row>
    <row r="64" spans="1:7" ht="30" customHeight="1" thickBot="1" x14ac:dyDescent="0.4">
      <c r="A64" s="1416" t="s">
        <v>286</v>
      </c>
      <c r="B64" s="1417"/>
      <c r="C64" s="1418"/>
      <c r="D64" s="1366">
        <f>'RT03-F12 &amp;'!C39/1000</f>
        <v>0</v>
      </c>
      <c r="E64" s="1370"/>
      <c r="F64" s="1370"/>
      <c r="G64" s="1370"/>
    </row>
    <row r="65" spans="1:7" ht="17" customHeight="1" x14ac:dyDescent="0.35">
      <c r="A65" s="1419"/>
      <c r="B65" s="1419"/>
      <c r="C65" s="1419"/>
      <c r="D65" s="1420"/>
      <c r="E65" s="1370"/>
      <c r="F65" s="1370"/>
      <c r="G65" s="1370"/>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1421"/>
      <c r="B68" s="1421"/>
      <c r="C68" s="1421"/>
      <c r="D68" s="1421"/>
      <c r="E68" s="1421"/>
      <c r="F68" s="1421"/>
      <c r="G68" s="1421"/>
    </row>
    <row r="69" spans="1:7" ht="125" customHeight="1" x14ac:dyDescent="0.35">
      <c r="A69" s="1422"/>
      <c r="B69" s="1422"/>
      <c r="C69" s="1422"/>
      <c r="D69" s="1422"/>
      <c r="E69" s="1422"/>
      <c r="F69" s="1422"/>
      <c r="G69" s="1422"/>
    </row>
    <row r="70" spans="1:7" ht="35" customHeight="1" x14ac:dyDescent="0.35">
      <c r="A70" s="1423"/>
      <c r="B70" s="1423"/>
      <c r="C70" s="1423"/>
      <c r="D70" s="1423"/>
      <c r="E70" s="1423"/>
      <c r="F70" s="1423"/>
      <c r="G70" s="1423"/>
    </row>
    <row r="71" spans="1:7" ht="35" customHeight="1" x14ac:dyDescent="0.35">
      <c r="A71" s="1424"/>
      <c r="B71" s="1424"/>
      <c r="C71" s="1424"/>
      <c r="D71" s="1424"/>
      <c r="E71" s="1327" t="s">
        <v>259</v>
      </c>
      <c r="F71" s="1327"/>
      <c r="G71" s="1328" t="e">
        <f>G3</f>
        <v>#N/A</v>
      </c>
    </row>
    <row r="72" spans="1:7" ht="23.15" customHeight="1" x14ac:dyDescent="0.35">
      <c r="A72" s="1391" t="s">
        <v>75</v>
      </c>
      <c r="B72" s="1391"/>
      <c r="C72" s="1391"/>
      <c r="F72" s="1353"/>
      <c r="G72" s="1353"/>
    </row>
    <row r="73" spans="1:7" ht="12" customHeight="1" thickBot="1" x14ac:dyDescent="0.4">
      <c r="F73" s="1353"/>
    </row>
    <row r="74" spans="1:7" ht="15" customHeight="1" thickBot="1" x14ac:dyDescent="0.4">
      <c r="A74" s="1425" t="s">
        <v>256</v>
      </c>
      <c r="B74" s="1426"/>
      <c r="C74" s="1426"/>
      <c r="D74" s="1426"/>
      <c r="E74" s="1427"/>
      <c r="F74" s="1353"/>
      <c r="G74" s="1353"/>
    </row>
    <row r="75" spans="1:7" ht="20.149999999999999" customHeight="1" thickBot="1" x14ac:dyDescent="0.4">
      <c r="A75" s="1428" t="str">
        <f>'RT03-F12 &amp;'!A43</f>
        <v>Cargas (g)</v>
      </c>
      <c r="B75" s="1429"/>
      <c r="C75" s="1399">
        <f>'RT03-F12 &amp;'!A44</f>
        <v>0</v>
      </c>
      <c r="D75" s="1399">
        <f>'RT03-F12 &amp;'!A45</f>
        <v>0</v>
      </c>
      <c r="E75" s="1430">
        <f>'RT03-F12 &amp;'!A46</f>
        <v>0</v>
      </c>
      <c r="F75" s="1353"/>
      <c r="G75" s="1353"/>
    </row>
    <row r="76" spans="1:7" ht="30" customHeight="1" thickBot="1" x14ac:dyDescent="0.4">
      <c r="A76" s="1425" t="s">
        <v>258</v>
      </c>
      <c r="B76" s="1427"/>
      <c r="C76" s="1431" t="s">
        <v>74</v>
      </c>
      <c r="D76" s="1431" t="s">
        <v>74</v>
      </c>
      <c r="E76" s="1431" t="s">
        <v>74</v>
      </c>
      <c r="F76" s="1353"/>
      <c r="G76" s="1353"/>
    </row>
    <row r="77" spans="1:7" ht="20.149999999999999" customHeight="1" x14ac:dyDescent="0.35">
      <c r="A77" s="1432">
        <f>'RT03-F12 &amp;'!B43</f>
        <v>1</v>
      </c>
      <c r="B77" s="1433"/>
      <c r="C77" s="1434">
        <f>'RT03-F12 &amp;'!B44</f>
        <v>0</v>
      </c>
      <c r="D77" s="1434">
        <f>'RT03-F12 &amp;'!B45</f>
        <v>0</v>
      </c>
      <c r="E77" s="1435">
        <f>'RT03-F12 &amp;'!B46</f>
        <v>0</v>
      </c>
      <c r="F77" s="1353"/>
      <c r="G77" s="1353"/>
    </row>
    <row r="78" spans="1:7" ht="20.149999999999999" customHeight="1" x14ac:dyDescent="0.35">
      <c r="A78" s="1436">
        <f>'RT03-F12 &amp;'!C43</f>
        <v>2</v>
      </c>
      <c r="B78" s="1437"/>
      <c r="C78" s="1438">
        <f>'RT03-F12 &amp;'!C44</f>
        <v>0</v>
      </c>
      <c r="D78" s="1438">
        <f>'RT03-F12 &amp;'!C45</f>
        <v>0</v>
      </c>
      <c r="E78" s="1439">
        <f>'RT03-F12 &amp;'!C46</f>
        <v>0</v>
      </c>
      <c r="F78" s="1353"/>
      <c r="G78" s="1353"/>
    </row>
    <row r="79" spans="1:7" ht="20.149999999999999" customHeight="1" x14ac:dyDescent="0.35">
      <c r="A79" s="1436">
        <f>'RT03-F12 &amp;'!D43</f>
        <v>3</v>
      </c>
      <c r="B79" s="1437"/>
      <c r="C79" s="1438">
        <f>'RT03-F12 &amp;'!D44</f>
        <v>0</v>
      </c>
      <c r="D79" s="1438">
        <f>'RT03-F12 &amp;'!D45</f>
        <v>0</v>
      </c>
      <c r="E79" s="1439">
        <f>'RT03-F12 &amp;'!D46</f>
        <v>0</v>
      </c>
      <c r="F79" s="1353"/>
      <c r="G79" s="1353"/>
    </row>
    <row r="80" spans="1:7" ht="20.149999999999999" customHeight="1" x14ac:dyDescent="0.35">
      <c r="A80" s="1436">
        <f>'RT03-F12 &amp;'!E43</f>
        <v>4</v>
      </c>
      <c r="B80" s="1437"/>
      <c r="C80" s="1438">
        <f>'RT03-F12 &amp;'!E44</f>
        <v>0</v>
      </c>
      <c r="D80" s="1438">
        <f>'RT03-F12 &amp;'!E45</f>
        <v>0</v>
      </c>
      <c r="E80" s="1439">
        <f>'RT03-F12 &amp;'!E46</f>
        <v>0</v>
      </c>
      <c r="F80" s="1353"/>
      <c r="G80" s="1353"/>
    </row>
    <row r="81" spans="1:7" ht="20.149999999999999" customHeight="1" x14ac:dyDescent="0.35">
      <c r="A81" s="1436">
        <f>'RT03-F12 &amp;'!F43</f>
        <v>5</v>
      </c>
      <c r="B81" s="1437"/>
      <c r="C81" s="1438">
        <f>'RT03-F12 &amp;'!F44</f>
        <v>0</v>
      </c>
      <c r="D81" s="1438">
        <f>'RT03-F12 &amp;'!F45</f>
        <v>0</v>
      </c>
      <c r="E81" s="1439">
        <f>'RT03-F12 &amp;'!F46</f>
        <v>0</v>
      </c>
      <c r="F81" s="1353"/>
      <c r="G81" s="1353"/>
    </row>
    <row r="82" spans="1:7" ht="20.149999999999999" customHeight="1" x14ac:dyDescent="0.35">
      <c r="A82" s="1436">
        <f>'RT03-F12 &amp;'!G43</f>
        <v>6</v>
      </c>
      <c r="B82" s="1437"/>
      <c r="C82" s="1438">
        <f>'RT03-F12 &amp;'!G44</f>
        <v>0</v>
      </c>
      <c r="D82" s="1438">
        <f>'RT03-F12 &amp;'!G45</f>
        <v>0</v>
      </c>
      <c r="E82" s="1439">
        <f>'RT03-F12 &amp;'!G46</f>
        <v>0</v>
      </c>
      <c r="F82" s="1353"/>
      <c r="G82" s="1353"/>
    </row>
    <row r="83" spans="1:7" ht="20.149999999999999" customHeight="1" x14ac:dyDescent="0.35">
      <c r="A83" s="1436">
        <f>'RT03-F12 &amp;'!H43</f>
        <v>7</v>
      </c>
      <c r="B83" s="1437"/>
      <c r="C83" s="1438">
        <f>'RT03-F12 &amp;'!H44</f>
        <v>0</v>
      </c>
      <c r="D83" s="1438">
        <f>'RT03-F12 &amp;'!H45</f>
        <v>0</v>
      </c>
      <c r="E83" s="1439">
        <f>'RT03-F12 &amp;'!H46</f>
        <v>0</v>
      </c>
      <c r="F83" s="1353"/>
      <c r="G83" s="1353"/>
    </row>
    <row r="84" spans="1:7" ht="20.149999999999999" customHeight="1" x14ac:dyDescent="0.35">
      <c r="A84" s="1436">
        <f>'RT03-F12 &amp;'!I43</f>
        <v>8</v>
      </c>
      <c r="B84" s="1437"/>
      <c r="C84" s="1438">
        <f>'RT03-F12 &amp;'!I44</f>
        <v>0</v>
      </c>
      <c r="D84" s="1438">
        <f>'RT03-F12 &amp;'!I45</f>
        <v>0</v>
      </c>
      <c r="E84" s="1439">
        <f>'RT03-F12 &amp;'!I46</f>
        <v>0</v>
      </c>
      <c r="F84" s="1353"/>
      <c r="G84" s="1353"/>
    </row>
    <row r="85" spans="1:7" ht="20.149999999999999" customHeight="1" x14ac:dyDescent="0.35">
      <c r="A85" s="1436">
        <f>'RT03-F12 &amp;'!J43</f>
        <v>9</v>
      </c>
      <c r="B85" s="1437"/>
      <c r="C85" s="1438">
        <f>'RT03-F12 &amp;'!J44</f>
        <v>0</v>
      </c>
      <c r="D85" s="1438">
        <f>'RT03-F12 &amp;'!J45</f>
        <v>0</v>
      </c>
      <c r="E85" s="1439">
        <f>'RT03-F12 &amp;'!J46</f>
        <v>0</v>
      </c>
      <c r="F85" s="1353"/>
      <c r="G85" s="1353"/>
    </row>
    <row r="86" spans="1:7" ht="20.149999999999999" customHeight="1" thickBot="1" x14ac:dyDescent="0.4">
      <c r="A86" s="1440">
        <f>'RT03-F12 &amp;'!K43</f>
        <v>10</v>
      </c>
      <c r="B86" s="1441"/>
      <c r="C86" s="1442">
        <f>'RT03-F12 &amp;'!K44</f>
        <v>0</v>
      </c>
      <c r="D86" s="1442">
        <f>'RT03-F12 &amp;'!K45</f>
        <v>0</v>
      </c>
      <c r="E86" s="1443">
        <f>'RT03-F12 &amp;'!K46</f>
        <v>0</v>
      </c>
      <c r="F86" s="1370"/>
      <c r="G86" s="1370"/>
    </row>
    <row r="87" spans="1:7" ht="12" customHeight="1" x14ac:dyDescent="0.35">
      <c r="A87" s="1331"/>
      <c r="B87" s="1331"/>
      <c r="C87" s="1331"/>
      <c r="D87" s="1331"/>
      <c r="E87" s="1370"/>
      <c r="F87" s="1370"/>
      <c r="G87" s="1370"/>
    </row>
    <row r="88" spans="1:7" ht="48" customHeight="1" x14ac:dyDescent="0.35">
      <c r="A88" s="1269" t="s">
        <v>253</v>
      </c>
      <c r="B88" s="1269"/>
      <c r="C88" s="1269"/>
      <c r="D88" s="1269"/>
      <c r="E88" s="1269"/>
      <c r="F88" s="1269"/>
      <c r="G88" s="1269"/>
    </row>
    <row r="89" spans="1:7" ht="12" customHeight="1" x14ac:dyDescent="0.35">
      <c r="F89" s="1370"/>
      <c r="G89" s="1370"/>
    </row>
    <row r="90" spans="1:7" ht="23.15" customHeight="1" x14ac:dyDescent="0.35">
      <c r="A90" s="1391" t="s">
        <v>257</v>
      </c>
      <c r="B90" s="1391"/>
      <c r="C90" s="1391"/>
      <c r="D90" s="1391"/>
      <c r="E90" s="1391"/>
      <c r="F90" s="1331"/>
      <c r="G90" s="1331"/>
    </row>
    <row r="91" spans="1:7" ht="12" customHeight="1" thickBot="1" x14ac:dyDescent="0.4">
      <c r="E91" s="63"/>
    </row>
    <row r="92" spans="1:7" ht="31" customHeight="1" thickBot="1" x14ac:dyDescent="0.4">
      <c r="A92" s="1444" t="s">
        <v>252</v>
      </c>
      <c r="B92" s="1445"/>
      <c r="C92" s="1445"/>
      <c r="D92" s="1446"/>
      <c r="E92" s="811" t="s">
        <v>371</v>
      </c>
      <c r="F92" s="811" t="s">
        <v>389</v>
      </c>
      <c r="G92" s="811" t="s">
        <v>390</v>
      </c>
    </row>
    <row r="93" spans="1:7" ht="30" customHeight="1" thickBot="1" x14ac:dyDescent="0.4">
      <c r="A93" s="1447" t="s">
        <v>371</v>
      </c>
      <c r="B93" s="1447"/>
      <c r="C93" s="1448" t="s">
        <v>273</v>
      </c>
      <c r="D93" s="1448" t="s">
        <v>444</v>
      </c>
      <c r="E93" s="811" t="e">
        <f>'RT03-F12 &amp;'!G21</f>
        <v>#N/A</v>
      </c>
      <c r="F93" s="811">
        <v>1</v>
      </c>
      <c r="G93" s="811">
        <v>-1</v>
      </c>
    </row>
    <row r="94" spans="1:7" ht="20.149999999999999" customHeight="1" x14ac:dyDescent="0.35">
      <c r="A94" s="1449" t="e">
        <f>'RT03-F12 &amp;'!K93</f>
        <v>#N/A</v>
      </c>
      <c r="B94" s="1450"/>
      <c r="C94" s="1451">
        <f>'RT03-F12 &amp;'!C55</f>
        <v>0</v>
      </c>
      <c r="D94" s="1452" t="e">
        <f>'RT03-F12 &amp;'!D55</f>
        <v>#N/A</v>
      </c>
      <c r="E94" s="812" t="e">
        <f>'RT03-F12 &amp;'!G22</f>
        <v>#N/A</v>
      </c>
      <c r="F94" s="811">
        <v>1</v>
      </c>
      <c r="G94" s="811">
        <v>-1</v>
      </c>
    </row>
    <row r="95" spans="1:7" ht="20.149999999999999" customHeight="1" x14ac:dyDescent="0.35">
      <c r="A95" s="1453" t="e">
        <f>'RT03-F12 &amp;'!K94</f>
        <v>#N/A</v>
      </c>
      <c r="B95" s="1454"/>
      <c r="C95" s="1438">
        <f>'RT03-F12 &amp;'!C56</f>
        <v>0</v>
      </c>
      <c r="D95" s="1455" t="e">
        <f>'RT03-F12 &amp;'!D56</f>
        <v>#N/A</v>
      </c>
      <c r="E95" s="812" t="e">
        <f>'RT03-F12 &amp;'!G23</f>
        <v>#N/A</v>
      </c>
      <c r="F95" s="811">
        <v>1</v>
      </c>
      <c r="G95" s="811">
        <v>-1</v>
      </c>
    </row>
    <row r="96" spans="1:7" ht="20.149999999999999" customHeight="1" x14ac:dyDescent="0.35">
      <c r="A96" s="1453" t="e">
        <f>'RT03-F12 &amp;'!K95</f>
        <v>#N/A</v>
      </c>
      <c r="B96" s="1454"/>
      <c r="C96" s="1438">
        <f>'RT03-F12 &amp;'!C57</f>
        <v>0</v>
      </c>
      <c r="D96" s="1455" t="e">
        <f>'RT03-F12 &amp;'!D57</f>
        <v>#N/A</v>
      </c>
      <c r="E96" s="812">
        <v>5000</v>
      </c>
      <c r="F96" s="811">
        <v>1</v>
      </c>
      <c r="G96" s="811">
        <v>-1</v>
      </c>
    </row>
    <row r="97" spans="1:7" ht="20.149999999999999" customHeight="1" x14ac:dyDescent="0.35">
      <c r="A97" s="1453" t="e">
        <f>'RT03-F12 &amp;'!K96</f>
        <v>#N/A</v>
      </c>
      <c r="B97" s="1454"/>
      <c r="C97" s="1438">
        <f>'RT03-F12 &amp;'!C58</f>
        <v>0</v>
      </c>
      <c r="D97" s="1456" t="e">
        <f>'RT03-F12 &amp;'!D58</f>
        <v>#N/A</v>
      </c>
      <c r="E97" s="812">
        <v>5000</v>
      </c>
      <c r="F97" s="811">
        <v>2</v>
      </c>
      <c r="G97" s="811">
        <v>-2</v>
      </c>
    </row>
    <row r="98" spans="1:7" ht="20.149999999999999" customHeight="1" thickBot="1" x14ac:dyDescent="0.4">
      <c r="A98" s="1457" t="e">
        <f>'RT03-F12 &amp;'!K97</f>
        <v>#N/A</v>
      </c>
      <c r="B98" s="1458"/>
      <c r="C98" s="1442">
        <f>'RT03-F12 &amp;'!C59</f>
        <v>0</v>
      </c>
      <c r="D98" s="1459" t="e">
        <f>'RT03-F12 &amp;'!D59</f>
        <v>#N/A</v>
      </c>
      <c r="E98" s="812" t="e">
        <f>'RT03-F12 &amp;'!G25</f>
        <v>#N/A</v>
      </c>
      <c r="F98" s="811">
        <v>2</v>
      </c>
      <c r="G98" s="811">
        <v>-2</v>
      </c>
    </row>
    <row r="99" spans="1:7" ht="16" customHeight="1" thickBot="1" x14ac:dyDescent="0.4">
      <c r="A99" s="1460"/>
      <c r="B99" s="1460"/>
      <c r="C99" s="1460"/>
      <c r="D99" s="1460"/>
      <c r="E99" s="1331"/>
      <c r="F99" s="1331"/>
      <c r="G99" s="1460"/>
    </row>
    <row r="100" spans="1:7" ht="18.75" customHeight="1" thickBot="1" x14ac:dyDescent="0.4">
      <c r="A100" s="1444" t="s">
        <v>254</v>
      </c>
      <c r="B100" s="1445"/>
      <c r="C100" s="1445"/>
      <c r="D100" s="1445"/>
      <c r="E100" s="1520" t="s">
        <v>330</v>
      </c>
      <c r="F100" s="1331"/>
      <c r="G100" s="1460"/>
    </row>
    <row r="101" spans="1:7" ht="30" customHeight="1" thickBot="1" x14ac:dyDescent="0.4">
      <c r="A101" s="1447" t="s">
        <v>371</v>
      </c>
      <c r="B101" s="1447"/>
      <c r="C101" s="1461" t="s">
        <v>214</v>
      </c>
      <c r="D101" s="1461" t="s">
        <v>292</v>
      </c>
      <c r="E101" s="1461" t="s">
        <v>331</v>
      </c>
      <c r="F101" s="1331"/>
      <c r="G101" s="1460"/>
    </row>
    <row r="102" spans="1:7" ht="20.149999999999999" customHeight="1" x14ac:dyDescent="0.35">
      <c r="A102" s="1449" t="e">
        <f>'RT03-F12 &amp;'!K93</f>
        <v>#N/A</v>
      </c>
      <c r="B102" s="1450"/>
      <c r="C102" s="1527" t="e">
        <f>'RT03-F12 &amp;'!M93</f>
        <v>#DIV/0!</v>
      </c>
      <c r="D102" s="1528" t="e">
        <f>IF('RT03-F12 &amp;'!O93&lt;=('RT03-F12 &amp;'!Q93),' CMC &amp;'!C21,'RT03-F12 &amp;'!O93)</f>
        <v>#N/A</v>
      </c>
      <c r="E102" s="1529" t="e">
        <f>'Pc &amp; '!N7</f>
        <v>#DIV/0!</v>
      </c>
      <c r="F102" s="1462"/>
      <c r="G102" s="1463"/>
    </row>
    <row r="103" spans="1:7" ht="20.149999999999999" customHeight="1" x14ac:dyDescent="0.35">
      <c r="A103" s="1453" t="e">
        <f>'RT03-F12 &amp;'!K94</f>
        <v>#N/A</v>
      </c>
      <c r="B103" s="1454"/>
      <c r="C103" s="1521" t="e">
        <f>'RT03-F12 &amp;'!M94</f>
        <v>#DIV/0!</v>
      </c>
      <c r="D103" s="1522" t="e">
        <f>IF('RT03-F12 &amp;'!O94&lt;=('RT03-F12 &amp;'!Q94),' CMC &amp;'!C21,'RT03-F12 &amp;'!O94)</f>
        <v>#N/A</v>
      </c>
      <c r="E103" s="1523" t="e">
        <f>'Pc &amp; '!N8</f>
        <v>#DIV/0!</v>
      </c>
      <c r="F103" s="1462"/>
      <c r="G103" s="1464"/>
    </row>
    <row r="104" spans="1:7" ht="20.149999999999999" customHeight="1" x14ac:dyDescent="0.35">
      <c r="A104" s="1453" t="e">
        <f>'RT03-F12 &amp;'!K95</f>
        <v>#N/A</v>
      </c>
      <c r="B104" s="1454"/>
      <c r="C104" s="1521" t="e">
        <f>'RT03-F12 &amp;'!M95</f>
        <v>#DIV/0!</v>
      </c>
      <c r="D104" s="1524" t="e">
        <f>IF('RT03-F12 &amp;'!O95&lt;=('RT03-F12 &amp;'!Q95),' CMC &amp;'!C21,'RT03-F12 &amp;'!O95)</f>
        <v>#N/A</v>
      </c>
      <c r="E104" s="1523" t="e">
        <f>'Pc &amp; '!N9</f>
        <v>#DIV/0!</v>
      </c>
      <c r="F104" s="1462"/>
      <c r="G104" s="1464"/>
    </row>
    <row r="105" spans="1:7" ht="20.149999999999999" customHeight="1" x14ac:dyDescent="0.35">
      <c r="A105" s="1453" t="e">
        <f>'RT03-F12 &amp;'!K96</f>
        <v>#N/A</v>
      </c>
      <c r="B105" s="1454"/>
      <c r="C105" s="1524" t="e">
        <f>'RT03-F12 &amp;'!M96</f>
        <v>#DIV/0!</v>
      </c>
      <c r="D105" s="1524" t="e">
        <f>IF('RT03-F12 &amp;'!O96&lt;=('RT03-F12 &amp;'!Q96),' CMC &amp;'!C21,'RT03-F12 &amp;'!O96)</f>
        <v>#N/A</v>
      </c>
      <c r="E105" s="1523" t="e">
        <f>'Pc &amp; '!N10</f>
        <v>#DIV/0!</v>
      </c>
      <c r="F105" s="1462"/>
      <c r="G105" s="1464"/>
    </row>
    <row r="106" spans="1:7" ht="20.149999999999999" customHeight="1" thickBot="1" x14ac:dyDescent="0.4">
      <c r="A106" s="1457" t="e">
        <f>'RT03-F12 &amp;'!K97</f>
        <v>#N/A</v>
      </c>
      <c r="B106" s="1458"/>
      <c r="C106" s="1525" t="e">
        <f>'RT03-F12 &amp;'!M97</f>
        <v>#DIV/0!</v>
      </c>
      <c r="D106" s="1525" t="e">
        <f>IF('RT03-F12 &amp;'!O97&lt;=('RT03-F12 &amp;'!Q97),' CMC &amp;'!C21,'RT03-F12 &amp;'!O97)</f>
        <v>#N/A</v>
      </c>
      <c r="E106" s="1526" t="e">
        <f>'Pc &amp; '!N11</f>
        <v>#DIV/0!</v>
      </c>
      <c r="F106" s="1465"/>
      <c r="G106" s="1464"/>
    </row>
    <row r="107" spans="1:7" ht="20.149999999999999" customHeight="1" x14ac:dyDescent="0.35">
      <c r="A107" s="1466"/>
      <c r="B107" s="1466"/>
      <c r="C107" s="1467"/>
      <c r="D107" s="1467"/>
      <c r="E107" s="1468"/>
      <c r="F107" s="1465"/>
      <c r="G107" s="1464"/>
    </row>
    <row r="108" spans="1:7" ht="125" customHeight="1" x14ac:dyDescent="0.35">
      <c r="A108" s="1466"/>
      <c r="B108" s="1466"/>
      <c r="C108" s="1467"/>
      <c r="D108" s="1467"/>
      <c r="E108" s="1468"/>
      <c r="F108" s="1465"/>
      <c r="G108" s="1464"/>
    </row>
    <row r="109" spans="1:7" ht="35" customHeight="1" x14ac:dyDescent="0.35">
      <c r="A109" s="1466"/>
      <c r="B109" s="1466"/>
      <c r="C109" s="1467"/>
      <c r="D109" s="1467"/>
      <c r="E109" s="1468"/>
      <c r="F109" s="1465"/>
      <c r="G109" s="1464"/>
    </row>
    <row r="110" spans="1:7" ht="35" customHeight="1" thickBot="1" x14ac:dyDescent="0.4">
      <c r="A110" s="1469"/>
      <c r="B110" s="1469"/>
      <c r="C110" s="1470"/>
      <c r="D110" s="1470"/>
      <c r="E110" s="1327" t="s">
        <v>510</v>
      </c>
      <c r="F110" s="1327"/>
      <c r="G110" s="1328" t="e">
        <f>G3</f>
        <v>#N/A</v>
      </c>
    </row>
    <row r="111" spans="1:7" ht="24" customHeight="1" thickBot="1" x14ac:dyDescent="0.4">
      <c r="A111" s="1471" t="s">
        <v>327</v>
      </c>
      <c r="B111" s="1472"/>
      <c r="C111" s="1473" t="s">
        <v>328</v>
      </c>
      <c r="D111" s="1474" t="s">
        <v>513</v>
      </c>
      <c r="E111" s="1353"/>
      <c r="F111" s="1475"/>
      <c r="G111" s="1353"/>
    </row>
    <row r="112" spans="1:7" ht="24" customHeight="1" x14ac:dyDescent="0.35">
      <c r="A112" s="1476" t="s">
        <v>329</v>
      </c>
      <c r="B112" s="1477"/>
      <c r="C112" s="1478" t="s">
        <v>514</v>
      </c>
      <c r="D112" s="1479">
        <v>1</v>
      </c>
      <c r="E112" s="1353"/>
      <c r="F112" s="1475"/>
      <c r="G112" s="1353"/>
    </row>
    <row r="113" spans="1:7" ht="24" customHeight="1" thickBot="1" x14ac:dyDescent="0.4">
      <c r="A113" s="1480" t="s">
        <v>336</v>
      </c>
      <c r="B113" s="1481"/>
      <c r="C113" s="1482" t="s">
        <v>515</v>
      </c>
      <c r="D113" s="1483">
        <v>2</v>
      </c>
      <c r="E113" s="1353"/>
      <c r="F113" s="1475"/>
      <c r="G113" s="1353"/>
    </row>
    <row r="114" spans="1:7" ht="28" customHeight="1" x14ac:dyDescent="0.35">
      <c r="A114" s="1353"/>
      <c r="B114" s="1353"/>
      <c r="C114" s="1353"/>
      <c r="D114" s="1353"/>
      <c r="E114" s="1353"/>
      <c r="F114" s="1475"/>
      <c r="G114" s="1353"/>
    </row>
    <row r="115" spans="1:7" ht="15" customHeight="1" x14ac:dyDescent="0.35">
      <c r="A115" s="1460"/>
      <c r="B115" s="1460"/>
      <c r="C115" s="1470"/>
      <c r="D115" s="1470"/>
      <c r="E115" s="1331"/>
      <c r="F115" s="1331"/>
      <c r="G115" s="1331"/>
    </row>
    <row r="116" spans="1:7" ht="15" customHeight="1" x14ac:dyDescent="0.35">
      <c r="A116" s="1353"/>
      <c r="B116" s="1353"/>
      <c r="C116" s="1484"/>
      <c r="D116" s="1353"/>
      <c r="E116" s="1353"/>
      <c r="F116" s="1353"/>
      <c r="G116" s="1353"/>
    </row>
    <row r="117" spans="1:7" ht="15" customHeight="1" x14ac:dyDescent="0.35">
      <c r="A117" s="1353"/>
      <c r="B117" s="1353"/>
      <c r="C117" s="1353"/>
      <c r="D117" s="1353"/>
      <c r="E117" s="1353"/>
      <c r="F117" s="1353"/>
      <c r="G117" s="1353"/>
    </row>
    <row r="118" spans="1:7" ht="15" customHeight="1" x14ac:dyDescent="0.35">
      <c r="A118" s="1353"/>
      <c r="B118" s="1353"/>
      <c r="C118" s="1353"/>
      <c r="D118" s="1353"/>
      <c r="E118" s="1353"/>
      <c r="F118" s="1353"/>
      <c r="G118" s="1353"/>
    </row>
    <row r="119" spans="1:7" ht="15" customHeight="1" x14ac:dyDescent="0.35">
      <c r="A119" s="1353"/>
      <c r="B119" s="1353"/>
      <c r="C119" s="1353"/>
      <c r="D119" s="1353"/>
      <c r="E119" s="1353"/>
      <c r="F119" s="1353"/>
      <c r="G119" s="1353"/>
    </row>
    <row r="120" spans="1:7" ht="15" customHeight="1" x14ac:dyDescent="0.35">
      <c r="A120" s="1353"/>
      <c r="B120" s="1353"/>
      <c r="C120" s="1353"/>
      <c r="D120" s="1353"/>
      <c r="E120" s="1353"/>
      <c r="F120" s="1353"/>
      <c r="G120" s="1353"/>
    </row>
    <row r="121" spans="1:7" ht="15" customHeight="1" x14ac:dyDescent="0.35">
      <c r="A121" s="1353"/>
      <c r="B121" s="1353"/>
      <c r="C121" s="1353"/>
      <c r="D121" s="1353"/>
      <c r="E121" s="1353"/>
      <c r="F121" s="1353"/>
      <c r="G121" s="1353"/>
    </row>
    <row r="122" spans="1:7" ht="15" customHeight="1" x14ac:dyDescent="0.35">
      <c r="A122" s="1353"/>
      <c r="B122" s="1353"/>
      <c r="C122" s="1353"/>
      <c r="D122" s="1353"/>
      <c r="E122" s="1353"/>
      <c r="F122" s="1353"/>
      <c r="G122" s="1353"/>
    </row>
    <row r="123" spans="1:7" ht="15" customHeight="1" x14ac:dyDescent="0.35">
      <c r="A123" s="1353"/>
      <c r="B123" s="1353"/>
      <c r="C123" s="1353"/>
      <c r="D123" s="1353"/>
      <c r="E123" s="1353"/>
      <c r="F123" s="1353"/>
      <c r="G123" s="1353"/>
    </row>
    <row r="124" spans="1:7" ht="15" customHeight="1" x14ac:dyDescent="0.35">
      <c r="A124" s="1353"/>
      <c r="B124" s="1353"/>
      <c r="C124" s="1353"/>
      <c r="D124" s="1353"/>
      <c r="E124" s="1353"/>
      <c r="F124" s="1353"/>
      <c r="G124" s="1353"/>
    </row>
    <row r="125" spans="1:7" ht="15" customHeight="1" x14ac:dyDescent="0.35">
      <c r="A125" s="1353"/>
      <c r="B125" s="1353"/>
      <c r="C125" s="1353"/>
      <c r="D125" s="1353"/>
      <c r="E125" s="1353"/>
      <c r="F125" s="1353"/>
      <c r="G125" s="1353"/>
    </row>
    <row r="126" spans="1:7" ht="15" customHeight="1" x14ac:dyDescent="0.35">
      <c r="A126" s="1353"/>
      <c r="B126" s="1353"/>
      <c r="C126" s="1353"/>
      <c r="D126" s="1353"/>
      <c r="E126" s="1353"/>
      <c r="F126" s="1353"/>
      <c r="G126" s="1353"/>
    </row>
    <row r="127" spans="1:7" ht="15" customHeight="1" x14ac:dyDescent="0.35">
      <c r="A127" s="1353"/>
      <c r="B127" s="1353"/>
      <c r="C127" s="1353"/>
      <c r="D127" s="1353"/>
      <c r="E127" s="1353"/>
      <c r="F127" s="1353"/>
      <c r="G127" s="1353"/>
    </row>
    <row r="128" spans="1:7" ht="15" customHeight="1" x14ac:dyDescent="0.35">
      <c r="E128" s="1331"/>
      <c r="F128" s="1331"/>
      <c r="G128" s="1331"/>
    </row>
    <row r="129" spans="1:8" ht="15" customHeight="1" x14ac:dyDescent="0.35">
      <c r="A129" s="1331"/>
      <c r="B129" s="1331"/>
      <c r="C129" s="1331"/>
      <c r="D129" s="1331"/>
      <c r="E129" s="1331"/>
      <c r="F129" s="1331"/>
      <c r="G129" s="1331"/>
    </row>
    <row r="130" spans="1:8" ht="32" customHeight="1" x14ac:dyDescent="0.35">
      <c r="A130" s="1331"/>
      <c r="B130" s="1331"/>
      <c r="C130" s="1331"/>
      <c r="D130" s="1331"/>
      <c r="E130" s="1331"/>
      <c r="F130" s="1331"/>
      <c r="G130" s="1331"/>
    </row>
    <row r="131" spans="1:8" ht="70" customHeight="1" x14ac:dyDescent="0.35">
      <c r="A131" s="1196" t="s">
        <v>492</v>
      </c>
      <c r="B131" s="1196"/>
      <c r="C131" s="1196"/>
      <c r="D131" s="1196"/>
      <c r="E131" s="1196"/>
      <c r="F131" s="1196"/>
      <c r="G131" s="1196"/>
    </row>
    <row r="132" spans="1:8" ht="23.15" customHeight="1" x14ac:dyDescent="0.35">
      <c r="A132" s="1485"/>
      <c r="B132" s="1485"/>
      <c r="C132" s="1485"/>
      <c r="D132" s="1485"/>
      <c r="E132" s="1485"/>
      <c r="F132" s="1485"/>
      <c r="G132" s="1485"/>
    </row>
    <row r="133" spans="1:8" ht="21" customHeight="1" x14ac:dyDescent="0.35">
      <c r="A133" s="1486"/>
      <c r="B133" s="1486"/>
      <c r="C133" s="1486"/>
      <c r="D133" s="1486"/>
      <c r="E133" s="1486"/>
      <c r="F133" s="1486"/>
      <c r="G133" s="1486"/>
    </row>
    <row r="134" spans="1:8" ht="21" customHeight="1" x14ac:dyDescent="0.35">
      <c r="A134" s="1486"/>
      <c r="B134" s="1486"/>
      <c r="C134" s="1486"/>
      <c r="D134" s="1486"/>
      <c r="E134" s="1486"/>
      <c r="F134" s="1486"/>
      <c r="G134" s="1486"/>
    </row>
    <row r="135" spans="1:8" ht="20.149999999999999" customHeight="1" x14ac:dyDescent="0.35">
      <c r="A135" s="1391"/>
      <c r="B135" s="1391"/>
      <c r="C135" s="1391"/>
      <c r="D135" s="1391"/>
      <c r="E135" s="1331"/>
      <c r="F135" s="1331"/>
      <c r="G135" s="1331"/>
    </row>
    <row r="136" spans="1:8" ht="20.149999999999999" customHeight="1" x14ac:dyDescent="0.35">
      <c r="A136" s="1329" t="s">
        <v>287</v>
      </c>
      <c r="B136" s="1329"/>
      <c r="C136" s="1329"/>
      <c r="D136" s="1329"/>
      <c r="E136" s="1329"/>
      <c r="F136" s="1329"/>
      <c r="G136" s="1331"/>
    </row>
    <row r="137" spans="1:8" ht="12" customHeight="1" x14ac:dyDescent="0.35">
      <c r="A137" s="1487"/>
      <c r="B137" s="1487"/>
      <c r="C137" s="1351"/>
      <c r="D137" s="1351"/>
      <c r="E137" s="1351"/>
      <c r="F137" s="1351"/>
      <c r="G137" s="1331"/>
    </row>
    <row r="138" spans="1:8" s="1488" customFormat="1" ht="58" customHeight="1" x14ac:dyDescent="0.35">
      <c r="A138" s="1186" t="s">
        <v>394</v>
      </c>
      <c r="B138" s="1186"/>
      <c r="C138" s="1186"/>
      <c r="D138" s="1186"/>
      <c r="E138" s="1186"/>
      <c r="F138" s="1186"/>
      <c r="G138" s="1186"/>
    </row>
    <row r="139" spans="1:8" ht="24.75" customHeight="1" x14ac:dyDescent="0.35">
      <c r="A139" s="1489"/>
      <c r="B139" s="1489"/>
      <c r="C139" s="1489"/>
      <c r="D139" s="1489"/>
      <c r="E139" s="1489"/>
      <c r="F139" s="1489"/>
      <c r="G139" s="1489"/>
    </row>
    <row r="140" spans="1:8" ht="20.149999999999999" customHeight="1" x14ac:dyDescent="0.35">
      <c r="A140" s="1359"/>
      <c r="B140" s="1359"/>
      <c r="C140" s="1359"/>
      <c r="D140" s="1359"/>
      <c r="E140" s="1359"/>
      <c r="F140" s="1359"/>
      <c r="G140" s="1359"/>
      <c r="H140" s="1490"/>
    </row>
    <row r="141" spans="1:8" ht="18" customHeight="1" x14ac:dyDescent="0.35">
      <c r="A141" s="1359"/>
      <c r="B141" s="1359"/>
      <c r="C141" s="1359"/>
      <c r="D141" s="1359"/>
      <c r="E141" s="1359"/>
      <c r="F141" s="1337"/>
      <c r="G141" s="1491"/>
      <c r="H141" s="1490"/>
    </row>
    <row r="142" spans="1:8" ht="18" customHeight="1" x14ac:dyDescent="0.35">
      <c r="A142" s="1492"/>
      <c r="B142" s="1492"/>
      <c r="C142" s="1492"/>
      <c r="D142" s="1492"/>
      <c r="E142" s="1492"/>
      <c r="F142" s="1493"/>
      <c r="G142" s="1494"/>
      <c r="H142" s="1490"/>
    </row>
    <row r="143" spans="1:8" ht="125" customHeight="1" x14ac:dyDescent="0.35">
      <c r="A143" s="1325"/>
      <c r="B143" s="1325"/>
      <c r="C143" s="1325"/>
      <c r="D143" s="1325"/>
      <c r="E143" s="1325"/>
      <c r="F143" s="1325"/>
      <c r="G143" s="1325"/>
    </row>
    <row r="144" spans="1:8" ht="35" customHeight="1" x14ac:dyDescent="0.35"/>
    <row r="145" spans="1:8" ht="35" customHeight="1" x14ac:dyDescent="0.35">
      <c r="E145" s="1327" t="s">
        <v>510</v>
      </c>
      <c r="F145" s="1327"/>
      <c r="G145" s="1328" t="e">
        <f>G3</f>
        <v>#N/A</v>
      </c>
    </row>
    <row r="146" spans="1:8" ht="23.15" customHeight="1" x14ac:dyDescent="0.35">
      <c r="E146" s="1495"/>
      <c r="F146" s="1495"/>
      <c r="G146" s="1496"/>
    </row>
    <row r="147" spans="1:8" ht="23.15" customHeight="1" x14ac:dyDescent="0.35">
      <c r="A147" s="1329" t="s">
        <v>288</v>
      </c>
      <c r="B147" s="1329"/>
      <c r="C147" s="1329"/>
      <c r="D147" s="1329"/>
      <c r="E147" s="1497"/>
      <c r="F147" s="1498"/>
      <c r="G147" s="1498"/>
    </row>
    <row r="148" spans="1:8" ht="23.15" customHeight="1" x14ac:dyDescent="0.35">
      <c r="A148" s="1634"/>
      <c r="B148" s="1634"/>
      <c r="C148" s="1634"/>
      <c r="D148" s="1634"/>
      <c r="E148" s="1634"/>
      <c r="F148" s="1634"/>
      <c r="G148" s="1634"/>
    </row>
    <row r="149" spans="1:8" s="1499" customFormat="1" ht="33" customHeight="1" x14ac:dyDescent="0.35">
      <c r="A149" s="815" t="s">
        <v>426</v>
      </c>
      <c r="B149" s="1187" t="s">
        <v>427</v>
      </c>
      <c r="C149" s="1187"/>
      <c r="D149" s="1187"/>
      <c r="E149" s="1187"/>
      <c r="F149" s="1187"/>
      <c r="G149" s="1187"/>
    </row>
    <row r="150" spans="1:8" s="1499" customFormat="1" ht="33" customHeight="1" x14ac:dyDescent="0.35">
      <c r="A150" s="816" t="s">
        <v>426</v>
      </c>
      <c r="B150" s="1188" t="s">
        <v>428</v>
      </c>
      <c r="C150" s="1188"/>
      <c r="D150" s="1188"/>
      <c r="E150" s="1188"/>
      <c r="F150" s="1188"/>
      <c r="G150" s="1188"/>
      <c r="H150" s="1500"/>
    </row>
    <row r="151" spans="1:8" s="1499" customFormat="1" ht="33" customHeight="1" x14ac:dyDescent="0.35">
      <c r="A151" s="816" t="s">
        <v>429</v>
      </c>
      <c r="B151" s="1188" t="s">
        <v>430</v>
      </c>
      <c r="C151" s="1188"/>
      <c r="D151" s="1188"/>
      <c r="E151" s="1188"/>
      <c r="F151" s="1188"/>
      <c r="G151" s="1188"/>
      <c r="H151" s="1500"/>
    </row>
    <row r="152" spans="1:8" s="1499" customFormat="1" ht="23.15" customHeight="1" x14ac:dyDescent="0.35">
      <c r="A152" s="816" t="s">
        <v>426</v>
      </c>
      <c r="B152" s="1188" t="s">
        <v>431</v>
      </c>
      <c r="C152" s="1188"/>
      <c r="D152" s="1188"/>
      <c r="E152" s="1188"/>
      <c r="F152" s="1188"/>
      <c r="G152" s="1188"/>
    </row>
    <row r="153" spans="1:8" s="1499" customFormat="1" ht="23.15" customHeight="1" x14ac:dyDescent="0.35">
      <c r="A153" s="816" t="s">
        <v>426</v>
      </c>
      <c r="B153" s="1188" t="s">
        <v>432</v>
      </c>
      <c r="C153" s="1188"/>
      <c r="D153" s="1188"/>
      <c r="E153" s="1188"/>
      <c r="F153" s="1188"/>
      <c r="G153" s="1188"/>
    </row>
    <row r="154" spans="1:8" s="1500" customFormat="1" ht="33" customHeight="1" x14ac:dyDescent="0.35">
      <c r="A154" s="816" t="s">
        <v>426</v>
      </c>
      <c r="B154" s="1188" t="s">
        <v>433</v>
      </c>
      <c r="C154" s="1188"/>
      <c r="D154" s="1188"/>
      <c r="E154" s="1188"/>
      <c r="F154" s="1188"/>
      <c r="G154" s="1188"/>
    </row>
    <row r="155" spans="1:8" s="1499" customFormat="1" ht="23.15" customHeight="1" x14ac:dyDescent="0.35">
      <c r="A155" s="815" t="s">
        <v>426</v>
      </c>
      <c r="B155" s="1187" t="s">
        <v>434</v>
      </c>
      <c r="C155" s="1187"/>
      <c r="D155" s="1187"/>
      <c r="E155" s="1187"/>
      <c r="F155" s="1187"/>
      <c r="G155" s="1187"/>
    </row>
    <row r="156" spans="1:8" s="1499" customFormat="1" ht="23.15" customHeight="1" x14ac:dyDescent="0.35">
      <c r="A156" s="1638" t="s">
        <v>429</v>
      </c>
      <c r="B156" s="1187" t="s">
        <v>436</v>
      </c>
      <c r="C156" s="1187"/>
      <c r="D156" s="1187"/>
      <c r="E156" s="1187"/>
      <c r="F156" s="1187"/>
      <c r="G156" s="1187"/>
    </row>
    <row r="157" spans="1:8" s="1499" customFormat="1" ht="23.15" customHeight="1" x14ac:dyDescent="0.35">
      <c r="A157" s="1638" t="s">
        <v>426</v>
      </c>
      <c r="B157" s="1187" t="s">
        <v>435</v>
      </c>
      <c r="C157" s="1187"/>
      <c r="D157" s="1187"/>
      <c r="E157" s="1187"/>
      <c r="F157" s="1187"/>
      <c r="G157" s="1187"/>
    </row>
    <row r="158" spans="1:8" s="1499" customFormat="1" ht="33" customHeight="1" x14ac:dyDescent="0.35">
      <c r="A158" s="1638"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505" t="s">
        <v>334</v>
      </c>
      <c r="B161" s="1505"/>
      <c r="C161" s="1505"/>
      <c r="D161" s="1506"/>
      <c r="E161" s="1506"/>
      <c r="F161" s="1507"/>
      <c r="G161" s="1507"/>
    </row>
    <row r="162" spans="1:11" ht="20.149999999999999" customHeight="1" x14ac:dyDescent="0.35">
      <c r="A162" s="1504"/>
      <c r="B162" s="1504"/>
      <c r="C162" s="1504"/>
      <c r="D162" s="1504"/>
      <c r="E162" s="1504"/>
      <c r="F162" s="1504"/>
      <c r="G162" s="1504"/>
    </row>
    <row r="163" spans="1:11" ht="20.149999999999999" customHeight="1" x14ac:dyDescent="0.35">
      <c r="A163" s="1373"/>
      <c r="B163" s="1373"/>
      <c r="C163" s="1373"/>
      <c r="D163" s="1373"/>
      <c r="E163" s="1373"/>
      <c r="F163" s="1373"/>
      <c r="G163" s="1373"/>
    </row>
    <row r="164" spans="1:11" ht="30" customHeight="1" x14ac:dyDescent="0.35">
      <c r="A164" s="1508"/>
      <c r="B164" s="1508"/>
      <c r="C164" s="1508"/>
      <c r="D164" s="1509"/>
      <c r="E164" s="1510"/>
      <c r="F164" s="1510"/>
      <c r="G164" s="1509"/>
    </row>
    <row r="165" spans="1:11" ht="20.149999999999999" customHeight="1" x14ac:dyDescent="0.35">
      <c r="A165" s="1511" t="s">
        <v>76</v>
      </c>
      <c r="B165" s="1511"/>
      <c r="C165" s="1511"/>
      <c r="D165" s="1511"/>
      <c r="E165" s="1511" t="s">
        <v>91</v>
      </c>
      <c r="F165" s="1511"/>
      <c r="G165" s="1511"/>
    </row>
    <row r="166" spans="1:11" ht="23.15" customHeight="1" x14ac:dyDescent="0.35">
      <c r="A166" s="1512" t="s">
        <v>289</v>
      </c>
      <c r="B166" s="1512"/>
      <c r="C166" s="1512"/>
      <c r="D166" s="1512"/>
      <c r="E166" s="1512" t="s">
        <v>290</v>
      </c>
      <c r="F166" s="1512"/>
      <c r="G166" s="1512"/>
    </row>
    <row r="167" spans="1:11" ht="23.15" customHeight="1" x14ac:dyDescent="0.35">
      <c r="A167" s="1512" t="e">
        <f>VLOOKUP($D$164,'DATOS &amp; '!$A$157:$D$160,4,FALSE)</f>
        <v>#N/A</v>
      </c>
      <c r="B167" s="1512"/>
      <c r="C167" s="1512"/>
      <c r="D167" s="1512"/>
      <c r="E167" s="1513" t="e">
        <f>VLOOKUP($G$164,'DATOS &amp; '!A157:F160,6,FALSE)</f>
        <v>#N/A</v>
      </c>
      <c r="F167" s="1513"/>
      <c r="G167" s="1513"/>
    </row>
    <row r="168" spans="1:11" ht="23.15" customHeight="1" x14ac:dyDescent="0.35">
      <c r="A168" s="1514" t="e">
        <f>VLOOKUP($D$164,'DATOS &amp; '!$A$157:$D$160,2,FALSE)</f>
        <v>#N/A</v>
      </c>
      <c r="B168" s="1514"/>
      <c r="C168" s="1514"/>
      <c r="D168" s="1514"/>
      <c r="E168" s="1514" t="e">
        <f>VLOOKUP($G$164,'DATOS &amp; '!A157:F160,2,FALSE)</f>
        <v>#N/A</v>
      </c>
      <c r="F168" s="1514"/>
      <c r="G168" s="1514"/>
    </row>
    <row r="169" spans="1:11" ht="15" customHeight="1" x14ac:dyDescent="0.35">
      <c r="A169" s="1359"/>
      <c r="B169" s="1359"/>
      <c r="C169" s="1359"/>
      <c r="D169" s="1359"/>
      <c r="E169" s="1359"/>
      <c r="F169" s="1359"/>
      <c r="G169" s="1359"/>
    </row>
    <row r="170" spans="1:11" ht="20.25" customHeight="1" x14ac:dyDescent="0.35"/>
    <row r="171" spans="1:11" ht="23.15" customHeight="1" x14ac:dyDescent="0.35">
      <c r="A171" s="1515" t="s">
        <v>260</v>
      </c>
      <c r="B171" s="1515"/>
      <c r="C171" s="1516" t="s">
        <v>421</v>
      </c>
      <c r="E171" s="1517" t="s">
        <v>437</v>
      </c>
      <c r="F171" s="1517"/>
      <c r="G171" s="1330" t="s">
        <v>421</v>
      </c>
    </row>
    <row r="172" spans="1:11" ht="15" customHeight="1" x14ac:dyDescent="0.35">
      <c r="C172" s="63"/>
    </row>
    <row r="173" spans="1:11" ht="23.15" customHeight="1" x14ac:dyDescent="0.35">
      <c r="A173" s="1518" t="s">
        <v>335</v>
      </c>
      <c r="B173" s="1518"/>
      <c r="C173" s="1518"/>
      <c r="D173" s="1518"/>
      <c r="E173" s="1518"/>
      <c r="F173" s="1518"/>
      <c r="G173" s="1518"/>
      <c r="K173" s="1519"/>
    </row>
  </sheetData>
  <sheetProtection algorithmName="SHA-512" hashValue="kmq7qPNklICSR8iQ0vzTOEDNvM3u7z2aRgWvAmQvUmEuDT0ZCZCnFy69EbH073OVxOSTZya4L5zmxCZU6pVXqg==" saltValue="TrGorwh/WnzmogqHRv/2mw==" spinCount="100000" sheet="1" objects="1" scenarios="1"/>
  <mergeCells count="128">
    <mergeCell ref="A168:D168"/>
    <mergeCell ref="E168:G168"/>
    <mergeCell ref="E171:F171"/>
    <mergeCell ref="A173:G173"/>
    <mergeCell ref="A165:D165"/>
    <mergeCell ref="E165:G165"/>
    <mergeCell ref="A166:D166"/>
    <mergeCell ref="E166:G166"/>
    <mergeCell ref="A167:D167"/>
    <mergeCell ref="E167:G167"/>
    <mergeCell ref="A171:B171"/>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A111:B111"/>
    <mergeCell ref="A112:B112"/>
    <mergeCell ref="A113:B113"/>
    <mergeCell ref="A131:G131"/>
    <mergeCell ref="A135:D135"/>
    <mergeCell ref="A136:F136"/>
    <mergeCell ref="A102:B102"/>
    <mergeCell ref="A103:B103"/>
    <mergeCell ref="A104:B104"/>
    <mergeCell ref="A105:B105"/>
    <mergeCell ref="A106:B106"/>
    <mergeCell ref="E110:F110"/>
    <mergeCell ref="A95:B95"/>
    <mergeCell ref="A96:B96"/>
    <mergeCell ref="A97:B97"/>
    <mergeCell ref="A98:B98"/>
    <mergeCell ref="A100:D100"/>
    <mergeCell ref="A101:B101"/>
    <mergeCell ref="A86:B86"/>
    <mergeCell ref="A88:G88"/>
    <mergeCell ref="A90:E90"/>
    <mergeCell ref="A92:D92"/>
    <mergeCell ref="A93:B93"/>
    <mergeCell ref="A94:B94"/>
    <mergeCell ref="A80:B80"/>
    <mergeCell ref="A81:B81"/>
    <mergeCell ref="A82:B82"/>
    <mergeCell ref="A83:B83"/>
    <mergeCell ref="A84:B84"/>
    <mergeCell ref="A85:B85"/>
    <mergeCell ref="A74:E74"/>
    <mergeCell ref="A75:B75"/>
    <mergeCell ref="A76:B76"/>
    <mergeCell ref="A77:B77"/>
    <mergeCell ref="A78:B78"/>
    <mergeCell ref="A79:B79"/>
    <mergeCell ref="A63:B63"/>
    <mergeCell ref="A64:C64"/>
    <mergeCell ref="A66:G67"/>
    <mergeCell ref="A69:G69"/>
    <mergeCell ref="E71:F71"/>
    <mergeCell ref="A72:C72"/>
    <mergeCell ref="A57:B57"/>
    <mergeCell ref="A58:B58"/>
    <mergeCell ref="A59:B59"/>
    <mergeCell ref="A60:B60"/>
    <mergeCell ref="A61:B61"/>
    <mergeCell ref="A62:B62"/>
    <mergeCell ref="D49:E49"/>
    <mergeCell ref="A50:C50"/>
    <mergeCell ref="D50:E50"/>
    <mergeCell ref="A52:G52"/>
    <mergeCell ref="A54:D54"/>
    <mergeCell ref="A56:D56"/>
    <mergeCell ref="A46:C46"/>
    <mergeCell ref="D46:E46"/>
    <mergeCell ref="A47:C47"/>
    <mergeCell ref="D47:E47"/>
    <mergeCell ref="A48:C48"/>
    <mergeCell ref="D48:E48"/>
    <mergeCell ref="A36:C36"/>
    <mergeCell ref="A37:G37"/>
    <mergeCell ref="E40:F40"/>
    <mergeCell ref="A41:G41"/>
    <mergeCell ref="A43:G43"/>
    <mergeCell ref="A45:C45"/>
    <mergeCell ref="D45:E45"/>
    <mergeCell ref="A26:C26"/>
    <mergeCell ref="D26:F26"/>
    <mergeCell ref="A28:G28"/>
    <mergeCell ref="A30:G30"/>
    <mergeCell ref="A32:G32"/>
    <mergeCell ref="A35:C35"/>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E14"/>
    <mergeCell ref="A1:G1"/>
    <mergeCell ref="E3:F3"/>
    <mergeCell ref="A4:D4"/>
    <mergeCell ref="A6:C6"/>
    <mergeCell ref="D6:G6"/>
    <mergeCell ref="A7:C7"/>
    <mergeCell ref="D7:G7"/>
    <mergeCell ref="A15:C15"/>
    <mergeCell ref="D15:E15"/>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Vr.10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5A4CBE-4F29-4774-B7B7-9B57ADA600F3}">
          <x14:formula1>
            <xm:f>'DATOS &amp; '!$A$157:$A$160</xm:f>
          </x14:formula1>
          <xm:sqref>G164 D164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DATOS &amp; </vt:lpstr>
      <vt:lpstr>RT03-F12 &amp;</vt:lpstr>
      <vt:lpstr> RT03-F15 &amp;</vt:lpstr>
      <vt:lpstr> CMC &amp;</vt:lpstr>
      <vt:lpstr>Pc &amp; </vt:lpstr>
      <vt:lpstr>Max y MIN &amp;</vt:lpstr>
      <vt:lpstr> RT03-F39 &amp;</vt:lpstr>
      <vt:lpstr>' CMC &amp;'!Área_de_impresión</vt:lpstr>
      <vt:lpstr>' RT03-F15 &amp;'!Área_de_impresión</vt:lpstr>
      <vt:lpstr>' RT03-F39 &amp;'!Área_de_impresión</vt:lpstr>
      <vt:lpstr>'Max y MIN &amp;'!Área_de_impresión</vt:lpstr>
      <vt:lpstr>'Pc &amp; '!Área_de_impresión</vt:lpstr>
      <vt:lpstr>'RT03-F12 &amp;'!Área_de_impresión</vt:lpstr>
      <vt:lpstr>' RT03-F15 &amp;'!Print_Area</vt:lpstr>
      <vt:lpstr>' RT03-F39 &amp;'!Print_Area</vt:lpstr>
      <vt:lpstr>'DATOS &amp; '!Print_Area</vt:lpstr>
      <vt:lpstr>'RT03-F12 &amp;'!Print_Area</vt:lpstr>
      <vt:lpstr>' RT03-F15 &amp;'!Print_Titles</vt:lpstr>
      <vt:lpstr>' RT03-F39 &amp;'!Print_Titles</vt:lpstr>
      <vt:lpstr>'RT03-F12 &amp;'!Print_Titles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Astrid Hernández Gómez</cp:lastModifiedBy>
  <cp:lastPrinted>2020-11-24T21:26:56Z</cp:lastPrinted>
  <dcterms:created xsi:type="dcterms:W3CDTF">2016-06-28T20:23:39Z</dcterms:created>
  <dcterms:modified xsi:type="dcterms:W3CDTF">2020-11-25T19:03:43Z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